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tables/table169.xml" ContentType="application/vnd.openxmlformats-officedocument.spreadsheetml.table+xml"/>
  <Override PartName="/xl/tables/table170.xml" ContentType="application/vnd.openxmlformats-officedocument.spreadsheetml.table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tables/table173.xml" ContentType="application/vnd.openxmlformats-officedocument.spreadsheetml.table+xml"/>
  <Override PartName="/xl/tables/table174.xml" ContentType="application/vnd.openxmlformats-officedocument.spreadsheetml.table+xml"/>
  <Override PartName="/xl/tables/table175.xml" ContentType="application/vnd.openxmlformats-officedocument.spreadsheetml.table+xml"/>
  <Override PartName="/xl/tables/table176.xml" ContentType="application/vnd.openxmlformats-officedocument.spreadsheetml.table+xml"/>
  <Override PartName="/xl/tables/table177.xml" ContentType="application/vnd.openxmlformats-officedocument.spreadsheetml.table+xml"/>
  <Override PartName="/xl/tables/table178.xml" ContentType="application/vnd.openxmlformats-officedocument.spreadsheetml.table+xml"/>
  <Override PartName="/xl/tables/table179.xml" ContentType="application/vnd.openxmlformats-officedocument.spreadsheetml.table+xml"/>
  <Override PartName="/xl/tables/table180.xml" ContentType="application/vnd.openxmlformats-officedocument.spreadsheetml.table+xml"/>
  <Override PartName="/xl/tables/table181.xml" ContentType="application/vnd.openxmlformats-officedocument.spreadsheetml.table+xml"/>
  <Override PartName="/xl/tables/table182.xml" ContentType="application/vnd.openxmlformats-officedocument.spreadsheetml.table+xml"/>
  <Override PartName="/xl/tables/table183.xml" ContentType="application/vnd.openxmlformats-officedocument.spreadsheetml.table+xml"/>
  <Override PartName="/xl/tables/table184.xml" ContentType="application/vnd.openxmlformats-officedocument.spreadsheetml.table+xml"/>
  <Override PartName="/xl/tables/table185.xml" ContentType="application/vnd.openxmlformats-officedocument.spreadsheetml.table+xml"/>
  <Override PartName="/xl/tables/table186.xml" ContentType="application/vnd.openxmlformats-officedocument.spreadsheetml.table+xml"/>
  <Override PartName="/xl/tables/table187.xml" ContentType="application/vnd.openxmlformats-officedocument.spreadsheetml.table+xml"/>
  <Override PartName="/xl/tables/table188.xml" ContentType="application/vnd.openxmlformats-officedocument.spreadsheetml.table+xml"/>
  <Override PartName="/xl/tables/table189.xml" ContentType="application/vnd.openxmlformats-officedocument.spreadsheetml.table+xml"/>
  <Override PartName="/xl/tables/table190.xml" ContentType="application/vnd.openxmlformats-officedocument.spreadsheetml.table+xml"/>
  <Override PartName="/xl/tables/table191.xml" ContentType="application/vnd.openxmlformats-officedocument.spreadsheetml.table+xml"/>
  <Override PartName="/xl/tables/table192.xml" ContentType="application/vnd.openxmlformats-officedocument.spreadsheetml.table+xml"/>
  <Override PartName="/xl/tables/table193.xml" ContentType="application/vnd.openxmlformats-officedocument.spreadsheetml.table+xml"/>
  <Override PartName="/xl/tables/table194.xml" ContentType="application/vnd.openxmlformats-officedocument.spreadsheetml.table+xml"/>
  <Override PartName="/xl/tables/table195.xml" ContentType="application/vnd.openxmlformats-officedocument.spreadsheetml.table+xml"/>
  <Override PartName="/xl/tables/table196.xml" ContentType="application/vnd.openxmlformats-officedocument.spreadsheetml.table+xml"/>
  <Override PartName="/xl/tables/table197.xml" ContentType="application/vnd.openxmlformats-officedocument.spreadsheetml.table+xml"/>
  <Override PartName="/xl/tables/table198.xml" ContentType="application/vnd.openxmlformats-officedocument.spreadsheetml.table+xml"/>
  <Override PartName="/xl/tables/table199.xml" ContentType="application/vnd.openxmlformats-officedocument.spreadsheetml.table+xml"/>
  <Override PartName="/xl/tables/table200.xml" ContentType="application/vnd.openxmlformats-officedocument.spreadsheetml.table+xml"/>
  <Override PartName="/xl/tables/table201.xml" ContentType="application/vnd.openxmlformats-officedocument.spreadsheetml.table+xml"/>
  <Override PartName="/xl/tables/table202.xml" ContentType="application/vnd.openxmlformats-officedocument.spreadsheetml.table+xml"/>
  <Override PartName="/xl/tables/table203.xml" ContentType="application/vnd.openxmlformats-officedocument.spreadsheetml.table+xml"/>
  <Override PartName="/xl/tables/table20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53222"/>
  <bookViews>
    <workbookView xWindow="0" yWindow="0" windowWidth="17850" windowHeight="10335"/>
  </bookViews>
  <sheets>
    <sheet name="目次" sheetId="59" r:id="rId1"/>
    <sheet name="産業大分類" sheetId="5" r:id="rId2"/>
    <sheet name="産業中分類" sheetId="6" r:id="rId3"/>
    <sheet name="産業小分類" sheetId="7" r:id="rId4"/>
    <sheet name="兵庫県" sheetId="8" r:id="rId5"/>
    <sheet name="神戸市" sheetId="9" r:id="rId6"/>
    <sheet name="神戸市東灘区" sheetId="10" r:id="rId7"/>
    <sheet name="神戸市灘区" sheetId="11" r:id="rId8"/>
    <sheet name="神戸市兵庫区" sheetId="12" r:id="rId9"/>
    <sheet name="神戸市長田区" sheetId="13" r:id="rId10"/>
    <sheet name="神戸市須磨区" sheetId="14" r:id="rId11"/>
    <sheet name="神戸市垂水区" sheetId="15" r:id="rId12"/>
    <sheet name="神戸市北区" sheetId="16" r:id="rId13"/>
    <sheet name="神戸市中央区" sheetId="17" r:id="rId14"/>
    <sheet name="神戸市西区" sheetId="18" r:id="rId15"/>
    <sheet name="姫路市" sheetId="19" r:id="rId16"/>
    <sheet name="尼崎市" sheetId="20" r:id="rId17"/>
    <sheet name="明石市" sheetId="21" r:id="rId18"/>
    <sheet name="西宮市" sheetId="22" r:id="rId19"/>
    <sheet name="洲本市" sheetId="23" r:id="rId20"/>
    <sheet name="芦屋市" sheetId="24" r:id="rId21"/>
    <sheet name="伊丹市" sheetId="25" r:id="rId22"/>
    <sheet name="相生市" sheetId="26" r:id="rId23"/>
    <sheet name="豊岡市" sheetId="27" r:id="rId24"/>
    <sheet name="加古川市" sheetId="28" r:id="rId25"/>
    <sheet name="赤穂市" sheetId="29" r:id="rId26"/>
    <sheet name="西脇市" sheetId="30" r:id="rId27"/>
    <sheet name="宝塚市" sheetId="31" r:id="rId28"/>
    <sheet name="三木市" sheetId="32" r:id="rId29"/>
    <sheet name="高砂市" sheetId="33" r:id="rId30"/>
    <sheet name="川西市" sheetId="34" r:id="rId31"/>
    <sheet name="小野市" sheetId="35" r:id="rId32"/>
    <sheet name="三田市" sheetId="36" r:id="rId33"/>
    <sheet name="加西市" sheetId="37" r:id="rId34"/>
    <sheet name="篠山市" sheetId="38" r:id="rId35"/>
    <sheet name="養父市" sheetId="39" r:id="rId36"/>
    <sheet name="丹波市" sheetId="40" r:id="rId37"/>
    <sheet name="南あわじ市" sheetId="41" r:id="rId38"/>
    <sheet name="朝来市" sheetId="42" r:id="rId39"/>
    <sheet name="淡路市" sheetId="43" r:id="rId40"/>
    <sheet name="宍粟市" sheetId="44" r:id="rId41"/>
    <sheet name="加東市" sheetId="45" r:id="rId42"/>
    <sheet name="たつの市" sheetId="46" r:id="rId43"/>
    <sheet name="川辺郡猪名川町" sheetId="47" r:id="rId44"/>
    <sheet name="多可郡多可町" sheetId="48" r:id="rId45"/>
    <sheet name="加古郡稲美町" sheetId="49" r:id="rId46"/>
    <sheet name="加古郡播磨町" sheetId="50" r:id="rId47"/>
    <sheet name="神崎郡市川町" sheetId="51" r:id="rId48"/>
    <sheet name="神崎郡福崎町" sheetId="52" r:id="rId49"/>
    <sheet name="神崎郡神河町" sheetId="53" r:id="rId50"/>
    <sheet name="揖保郡太子町" sheetId="54" r:id="rId51"/>
    <sheet name="赤穂郡上郡町" sheetId="55" r:id="rId52"/>
    <sheet name="佐用郡佐用町" sheetId="56" r:id="rId53"/>
    <sheet name="美方郡香美町" sheetId="57" r:id="rId54"/>
    <sheet name="美方郡新温泉町" sheetId="58" r:id="rId55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52511"/>
  <pivotCaches>
    <pivotCache cacheId="371" r:id="rId56"/>
    <pivotCache cacheId="372" r:id="rId57"/>
    <pivotCache cacheId="373" r:id="rId5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58" l="1"/>
  <c r="I21" i="58" s="1"/>
  <c r="G20" i="58"/>
  <c r="G21" i="58" s="1"/>
  <c r="E20" i="58"/>
  <c r="E21" i="58" s="1"/>
  <c r="C20" i="58"/>
  <c r="I20" i="57"/>
  <c r="I21" i="57" s="1"/>
  <c r="G20" i="57"/>
  <c r="G21" i="57" s="1"/>
  <c r="E20" i="57"/>
  <c r="E21" i="57" s="1"/>
  <c r="C20" i="57"/>
  <c r="I20" i="56"/>
  <c r="I21" i="56" s="1"/>
  <c r="G20" i="56"/>
  <c r="G21" i="56" s="1"/>
  <c r="E20" i="56"/>
  <c r="E21" i="56" s="1"/>
  <c r="C20" i="56"/>
  <c r="I20" i="55"/>
  <c r="I21" i="55" s="1"/>
  <c r="G20" i="55"/>
  <c r="G21" i="55" s="1"/>
  <c r="E20" i="55"/>
  <c r="E21" i="55" s="1"/>
  <c r="C20" i="55"/>
  <c r="I20" i="54"/>
  <c r="I21" i="54" s="1"/>
  <c r="G20" i="54"/>
  <c r="G21" i="54" s="1"/>
  <c r="E20" i="54"/>
  <c r="E21" i="54" s="1"/>
  <c r="C20" i="54"/>
  <c r="I20" i="53"/>
  <c r="G20" i="53"/>
  <c r="G21" i="53" s="1"/>
  <c r="E20" i="53"/>
  <c r="C20" i="53"/>
  <c r="I20" i="52"/>
  <c r="G20" i="52"/>
  <c r="G21" i="52" s="1"/>
  <c r="E20" i="52"/>
  <c r="C20" i="52"/>
  <c r="I20" i="51"/>
  <c r="I21" i="51" s="1"/>
  <c r="G20" i="51"/>
  <c r="G21" i="51" s="1"/>
  <c r="E20" i="51"/>
  <c r="E21" i="51" s="1"/>
  <c r="C20" i="51"/>
  <c r="I20" i="50"/>
  <c r="I21" i="50" s="1"/>
  <c r="G20" i="50"/>
  <c r="G21" i="50" s="1"/>
  <c r="E20" i="50"/>
  <c r="E21" i="50" s="1"/>
  <c r="C20" i="50"/>
  <c r="I20" i="49"/>
  <c r="G20" i="49"/>
  <c r="G21" i="49" s="1"/>
  <c r="E20" i="49"/>
  <c r="C20" i="49"/>
  <c r="I20" i="48"/>
  <c r="G20" i="48"/>
  <c r="G21" i="48" s="1"/>
  <c r="E20" i="48"/>
  <c r="C20" i="48"/>
  <c r="I20" i="47"/>
  <c r="I21" i="47" s="1"/>
  <c r="G20" i="47"/>
  <c r="G21" i="47" s="1"/>
  <c r="E20" i="47"/>
  <c r="E21" i="47" s="1"/>
  <c r="C20" i="47"/>
  <c r="I20" i="46"/>
  <c r="I21" i="46" s="1"/>
  <c r="G20" i="46"/>
  <c r="G21" i="46" s="1"/>
  <c r="E20" i="46"/>
  <c r="E21" i="46" s="1"/>
  <c r="C20" i="46"/>
  <c r="I20" i="45"/>
  <c r="G20" i="45"/>
  <c r="G21" i="45" s="1"/>
  <c r="E20" i="45"/>
  <c r="C20" i="45"/>
  <c r="I20" i="44"/>
  <c r="I21" i="44" s="1"/>
  <c r="G20" i="44"/>
  <c r="G21" i="44" s="1"/>
  <c r="E20" i="44"/>
  <c r="E21" i="44" s="1"/>
  <c r="C20" i="44"/>
  <c r="I20" i="43"/>
  <c r="I21" i="43" s="1"/>
  <c r="G20" i="43"/>
  <c r="G21" i="43" s="1"/>
  <c r="E20" i="43"/>
  <c r="E21" i="43" s="1"/>
  <c r="C20" i="43"/>
  <c r="I20" i="42"/>
  <c r="I21" i="42" s="1"/>
  <c r="G20" i="42"/>
  <c r="G21" i="42" s="1"/>
  <c r="E20" i="42"/>
  <c r="E21" i="42" s="1"/>
  <c r="C20" i="42"/>
  <c r="I20" i="41"/>
  <c r="I21" i="41" s="1"/>
  <c r="G20" i="41"/>
  <c r="G21" i="41" s="1"/>
  <c r="E20" i="41"/>
  <c r="E21" i="41" s="1"/>
  <c r="C20" i="41"/>
  <c r="I20" i="40"/>
  <c r="I21" i="40" s="1"/>
  <c r="G20" i="40"/>
  <c r="G21" i="40" s="1"/>
  <c r="E20" i="40"/>
  <c r="E21" i="40" s="1"/>
  <c r="C20" i="40"/>
  <c r="I20" i="39"/>
  <c r="G20" i="39"/>
  <c r="G21" i="39" s="1"/>
  <c r="E20" i="39"/>
  <c r="C20" i="39"/>
  <c r="I20" i="38"/>
  <c r="I21" i="38" s="1"/>
  <c r="G20" i="38"/>
  <c r="G21" i="38" s="1"/>
  <c r="E20" i="38"/>
  <c r="E21" i="38" s="1"/>
  <c r="C20" i="38"/>
  <c r="I20" i="37"/>
  <c r="G20" i="37"/>
  <c r="G21" i="37" s="1"/>
  <c r="E20" i="37"/>
  <c r="C20" i="37"/>
  <c r="E21" i="37" s="1"/>
  <c r="I20" i="36"/>
  <c r="I21" i="36" s="1"/>
  <c r="G20" i="36"/>
  <c r="G21" i="36" s="1"/>
  <c r="E20" i="36"/>
  <c r="E21" i="36" s="1"/>
  <c r="C20" i="36"/>
  <c r="I20" i="35"/>
  <c r="G20" i="35"/>
  <c r="G21" i="35" s="1"/>
  <c r="E20" i="35"/>
  <c r="C20" i="35"/>
  <c r="I20" i="34"/>
  <c r="G20" i="34"/>
  <c r="G21" i="34" s="1"/>
  <c r="E20" i="34"/>
  <c r="C20" i="34"/>
  <c r="I20" i="33"/>
  <c r="G20" i="33"/>
  <c r="G21" i="33" s="1"/>
  <c r="E20" i="33"/>
  <c r="C20" i="33"/>
  <c r="I20" i="32"/>
  <c r="G20" i="32"/>
  <c r="G21" i="32" s="1"/>
  <c r="E20" i="32"/>
  <c r="C20" i="32"/>
  <c r="I20" i="31"/>
  <c r="G20" i="31"/>
  <c r="G21" i="31" s="1"/>
  <c r="E20" i="31"/>
  <c r="C20" i="31"/>
  <c r="I20" i="30"/>
  <c r="I21" i="30" s="1"/>
  <c r="G20" i="30"/>
  <c r="G21" i="30" s="1"/>
  <c r="E20" i="30"/>
  <c r="E21" i="30" s="1"/>
  <c r="C20" i="30"/>
  <c r="I20" i="29"/>
  <c r="I21" i="29" s="1"/>
  <c r="G20" i="29"/>
  <c r="G21" i="29" s="1"/>
  <c r="E20" i="29"/>
  <c r="E21" i="29" s="1"/>
  <c r="C20" i="29"/>
  <c r="I20" i="28"/>
  <c r="I21" i="28" s="1"/>
  <c r="G20" i="28"/>
  <c r="G21" i="28" s="1"/>
  <c r="E20" i="28"/>
  <c r="E21" i="28" s="1"/>
  <c r="C20" i="28"/>
  <c r="I20" i="27"/>
  <c r="I21" i="27" s="1"/>
  <c r="G20" i="27"/>
  <c r="G21" i="27" s="1"/>
  <c r="E20" i="27"/>
  <c r="E21" i="27" s="1"/>
  <c r="C20" i="27"/>
  <c r="I20" i="26"/>
  <c r="I21" i="26" s="1"/>
  <c r="G20" i="26"/>
  <c r="G21" i="26" s="1"/>
  <c r="E20" i="26"/>
  <c r="E21" i="26" s="1"/>
  <c r="C20" i="26"/>
  <c r="I20" i="25"/>
  <c r="G20" i="25"/>
  <c r="G21" i="25" s="1"/>
  <c r="E20" i="25"/>
  <c r="C20" i="25"/>
  <c r="I20" i="24"/>
  <c r="I21" i="24" s="1"/>
  <c r="G20" i="24"/>
  <c r="G21" i="24" s="1"/>
  <c r="E20" i="24"/>
  <c r="E21" i="24" s="1"/>
  <c r="C20" i="24"/>
  <c r="I20" i="23"/>
  <c r="G20" i="23"/>
  <c r="G21" i="23" s="1"/>
  <c r="E20" i="23"/>
  <c r="C20" i="23"/>
  <c r="I20" i="22"/>
  <c r="G20" i="22"/>
  <c r="G21" i="22" s="1"/>
  <c r="E20" i="22"/>
  <c r="C20" i="22"/>
  <c r="I20" i="21"/>
  <c r="G20" i="21"/>
  <c r="G21" i="21" s="1"/>
  <c r="E20" i="21"/>
  <c r="C20" i="21"/>
  <c r="I20" i="20"/>
  <c r="I21" i="20" s="1"/>
  <c r="G20" i="20"/>
  <c r="G21" i="20" s="1"/>
  <c r="E20" i="20"/>
  <c r="E21" i="20" s="1"/>
  <c r="C20" i="20"/>
  <c r="I20" i="19"/>
  <c r="I21" i="19" s="1"/>
  <c r="G20" i="19"/>
  <c r="G21" i="19" s="1"/>
  <c r="E20" i="19"/>
  <c r="E21" i="19" s="1"/>
  <c r="C20" i="19"/>
  <c r="I20" i="18"/>
  <c r="I21" i="18" s="1"/>
  <c r="G20" i="18"/>
  <c r="G21" i="18" s="1"/>
  <c r="E20" i="18"/>
  <c r="E21" i="18" s="1"/>
  <c r="C20" i="18"/>
  <c r="I20" i="17"/>
  <c r="G20" i="17"/>
  <c r="G21" i="17" s="1"/>
  <c r="E20" i="17"/>
  <c r="C20" i="17"/>
  <c r="I20" i="16"/>
  <c r="G20" i="16"/>
  <c r="G21" i="16" s="1"/>
  <c r="E20" i="16"/>
  <c r="C20" i="16"/>
  <c r="I20" i="15"/>
  <c r="I21" i="15" s="1"/>
  <c r="G20" i="15"/>
  <c r="G21" i="15" s="1"/>
  <c r="E20" i="15"/>
  <c r="E21" i="15" s="1"/>
  <c r="C20" i="15"/>
  <c r="I20" i="14"/>
  <c r="G20" i="14"/>
  <c r="G21" i="14" s="1"/>
  <c r="E20" i="14"/>
  <c r="C20" i="14"/>
  <c r="I20" i="13"/>
  <c r="G20" i="13"/>
  <c r="G21" i="13" s="1"/>
  <c r="E20" i="13"/>
  <c r="C20" i="13"/>
  <c r="I20" i="12"/>
  <c r="I21" i="12" s="1"/>
  <c r="G20" i="12"/>
  <c r="G21" i="12" s="1"/>
  <c r="E20" i="12"/>
  <c r="E21" i="12" s="1"/>
  <c r="C20" i="12"/>
  <c r="I20" i="11"/>
  <c r="I21" i="11" s="1"/>
  <c r="G20" i="11"/>
  <c r="G21" i="11" s="1"/>
  <c r="E20" i="11"/>
  <c r="E21" i="11" s="1"/>
  <c r="C20" i="11"/>
  <c r="I20" i="10"/>
  <c r="G20" i="10"/>
  <c r="G21" i="10" s="1"/>
  <c r="E20" i="10"/>
  <c r="C20" i="10"/>
  <c r="I20" i="9"/>
  <c r="G20" i="9"/>
  <c r="G21" i="9" s="1"/>
  <c r="E20" i="9"/>
  <c r="C20" i="9"/>
  <c r="I20" i="8"/>
  <c r="I21" i="8" s="1"/>
  <c r="G20" i="8"/>
  <c r="G21" i="8" s="1"/>
  <c r="E20" i="8"/>
  <c r="E21" i="8" s="1"/>
  <c r="C20" i="8"/>
  <c r="E21" i="53" l="1"/>
  <c r="I21" i="53"/>
  <c r="I21" i="52"/>
  <c r="E21" i="52"/>
  <c r="I21" i="49"/>
  <c r="E21" i="49"/>
  <c r="I21" i="48"/>
  <c r="E21" i="48"/>
  <c r="E21" i="45"/>
  <c r="I21" i="45"/>
  <c r="E21" i="39"/>
  <c r="I21" i="39"/>
  <c r="I21" i="37"/>
  <c r="E21" i="35"/>
  <c r="I21" i="35"/>
  <c r="E21" i="34"/>
  <c r="I21" i="34"/>
  <c r="E21" i="33"/>
  <c r="I21" i="33"/>
  <c r="E21" i="32"/>
  <c r="I21" i="32"/>
  <c r="E21" i="31"/>
  <c r="I21" i="31"/>
  <c r="E21" i="25"/>
  <c r="I21" i="25"/>
  <c r="E21" i="23"/>
  <c r="I21" i="23"/>
  <c r="E21" i="22"/>
  <c r="I21" i="22"/>
  <c r="E21" i="21"/>
  <c r="I21" i="21"/>
  <c r="E21" i="17"/>
  <c r="I21" i="17"/>
  <c r="E21" i="16"/>
  <c r="I21" i="16"/>
  <c r="E21" i="14"/>
  <c r="I21" i="14"/>
  <c r="E21" i="13"/>
  <c r="I21" i="13"/>
  <c r="I21" i="10"/>
  <c r="E21" i="10"/>
  <c r="E21" i="9"/>
  <c r="I21" i="9"/>
</calcChain>
</file>

<file path=xl/connections.xml><?xml version="1.0" encoding="utf-8"?>
<connections xmlns="http://schemas.openxmlformats.org/spreadsheetml/2006/main">
  <connection id="1" name="ecensus28 sanbun1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name="ecensus28 sanbun2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name="ecensus28 sanbun3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<sst xmlns="http://schemas.openxmlformats.org/spreadsheetml/2006/main" count="8163" uniqueCount="444">
  <si>
    <t>28000 兵庫県</t>
  </si>
  <si>
    <t>28100 神戸市</t>
  </si>
  <si>
    <t>28101 神戸市東灘区</t>
  </si>
  <si>
    <t>28102 神戸市灘区</t>
  </si>
  <si>
    <t>28105 神戸市兵庫区</t>
  </si>
  <si>
    <t>28106 神戸市長田区</t>
  </si>
  <si>
    <t>28107 神戸市須磨区</t>
  </si>
  <si>
    <t>28108 神戸市垂水区</t>
  </si>
  <si>
    <t>28109 神戸市北区</t>
  </si>
  <si>
    <t>28110 神戸市中央区</t>
  </si>
  <si>
    <t>28111 神戸市西区</t>
  </si>
  <si>
    <t>28201 姫路市</t>
  </si>
  <si>
    <t>28202 尼崎市</t>
  </si>
  <si>
    <t>28203 明石市</t>
  </si>
  <si>
    <t>28204 西宮市</t>
  </si>
  <si>
    <t>28205 洲本市</t>
  </si>
  <si>
    <t>28206 芦屋市</t>
  </si>
  <si>
    <t>28207 伊丹市</t>
  </si>
  <si>
    <t>28208 相生市</t>
  </si>
  <si>
    <t>28209 豊岡市</t>
  </si>
  <si>
    <t>28210 加古川市</t>
  </si>
  <si>
    <t>28212 赤穂市</t>
  </si>
  <si>
    <t>28213 西脇市</t>
  </si>
  <si>
    <t>28214 宝塚市</t>
  </si>
  <si>
    <t>28215 三木市</t>
  </si>
  <si>
    <t>28216 高砂市</t>
  </si>
  <si>
    <t>28217 川西市</t>
  </si>
  <si>
    <t>28218 小野市</t>
  </si>
  <si>
    <t>28219 三田市</t>
  </si>
  <si>
    <t>28220 加西市</t>
  </si>
  <si>
    <t>28221 篠山市</t>
  </si>
  <si>
    <t>28222 養父市</t>
  </si>
  <si>
    <t>28223 丹波市</t>
  </si>
  <si>
    <t>28224 南あわじ市</t>
  </si>
  <si>
    <t>28225 朝来市</t>
  </si>
  <si>
    <t>28226 淡路市</t>
  </si>
  <si>
    <t>28227 宍粟市</t>
  </si>
  <si>
    <t>28228 加東市</t>
  </si>
  <si>
    <t>28229 たつの市</t>
  </si>
  <si>
    <t>28301 川辺郡猪名川町</t>
  </si>
  <si>
    <t>28365 多可郡多可町</t>
  </si>
  <si>
    <t>28381 加古郡稲美町</t>
  </si>
  <si>
    <t>28382 加古郡播磨町</t>
  </si>
  <si>
    <t>28442 神崎郡市川町</t>
  </si>
  <si>
    <t>28443 神崎郡福崎町</t>
  </si>
  <si>
    <t>28446 神崎郡神河町</t>
  </si>
  <si>
    <t>28464 揖保郡太子町</t>
  </si>
  <si>
    <t>28481 赤穂郡上郡町</t>
  </si>
  <si>
    <t>28501 佐用郡佐用町</t>
  </si>
  <si>
    <t>28585 美方郡香美町</t>
  </si>
  <si>
    <t>28586 美方郡新温泉町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</si>
  <si>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</si>
  <si>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</si>
  <si>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</si>
  <si>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</si>
  <si>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</si>
  <si>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</si>
  <si>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</si>
  <si>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</si>
  <si>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</si>
  <si>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</si>
  <si>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</si>
  <si>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</si>
  <si>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</si>
  <si>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</si>
  <si>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</si>
  <si>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</si>
  <si>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</si>
  <si>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</si>
  <si>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</si>
  <si>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</si>
  <si>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</si>
  <si>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</si>
  <si>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</si>
  <si>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</si>
  <si>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</si>
  <si>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</si>
  <si>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24 金属製品製造業</t>
  </si>
  <si>
    <t>53 建築材料，鉱物・金属材料等卸売業</t>
  </si>
  <si>
    <t>54 機械器具卸売業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</si>
  <si>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</si>
  <si>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</si>
  <si>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</si>
  <si>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</si>
  <si>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</si>
  <si>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68 不動産取引業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</si>
  <si>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</si>
  <si>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</si>
  <si>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</si>
  <si>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</si>
  <si>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</si>
  <si>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79 その他の生活関連サービス業</t>
  </si>
  <si>
    <t>82 その他の教育，学習支援業</t>
  </si>
  <si>
    <t>83 医療業</t>
  </si>
  <si>
    <t>85 社会保険・社会福祉・介護事業</t>
  </si>
  <si>
    <t>44 道路貨物運送業</t>
  </si>
  <si>
    <t>52 飲食料品卸売業</t>
  </si>
  <si>
    <t>92 その他の事業サービス業</t>
  </si>
  <si>
    <t>15 印刷・同関連業</t>
  </si>
  <si>
    <t>19 ゴム製品製造業</t>
  </si>
  <si>
    <t>20 なめし革・同製品・毛皮製造業</t>
  </si>
  <si>
    <t>26 生産用機械器具製造業</t>
  </si>
  <si>
    <t>51 繊維・衣服等卸売業</t>
  </si>
  <si>
    <t>61 無店舗小売業</t>
  </si>
  <si>
    <t>43 道路旅客運送業</t>
  </si>
  <si>
    <t>77 持ち帰り・配達飲食サービス業</t>
  </si>
  <si>
    <t>89 自動車整備業</t>
  </si>
  <si>
    <t>09 食料品製造業</t>
  </si>
  <si>
    <t>75 宿泊業</t>
  </si>
  <si>
    <t>80 娯楽業</t>
  </si>
  <si>
    <t>11 繊維工業</t>
  </si>
  <si>
    <t>67 保険業（保険媒介代理業，保険サービス業を含む）</t>
  </si>
  <si>
    <t>32 その他の製造業</t>
  </si>
  <si>
    <t>12 木材・木製品製造業（家具を除く）</t>
  </si>
  <si>
    <t>90 機械等修理業（別掲を除く）</t>
  </si>
  <si>
    <t>18 プラスチック製品製造業（別掲を除く）</t>
  </si>
  <si>
    <t>25 はん用機械器具製造業</t>
  </si>
  <si>
    <t>31 輸送用機械器具製造業</t>
  </si>
  <si>
    <t>21 窯業・土石製品製造業</t>
  </si>
  <si>
    <t>13 家具・装備品製造業</t>
  </si>
  <si>
    <t>22 鉄鋼業</t>
  </si>
  <si>
    <t>39 情報サービス業</t>
  </si>
  <si>
    <t>48 運輸に附帯するサービス業</t>
  </si>
  <si>
    <t>自治体</t>
  </si>
  <si>
    <t>産業中分類</t>
  </si>
  <si>
    <t>062 土木工事業（舗装工事業を除く）</t>
  </si>
  <si>
    <t>064 建築工事業（木造建築工事業を除く）</t>
  </si>
  <si>
    <t>081 電気工事業</t>
  </si>
  <si>
    <t>573 婦人・子供服小売業</t>
  </si>
  <si>
    <t>589 その他の飲食料品小売業</t>
  </si>
  <si>
    <t>591 自動車小売業</t>
  </si>
  <si>
    <t>603 医薬品・化粧品小売業</t>
  </si>
  <si>
    <t>609 他に分類されない小売業</t>
  </si>
  <si>
    <t>682 不動産代理業・仲介業</t>
  </si>
  <si>
    <t>692 貸家業，貸間業</t>
  </si>
  <si>
    <t>762 専門料理店</t>
  </si>
  <si>
    <t>765 酒場，ビヤホール</t>
  </si>
  <si>
    <t>766 バー，キャバレー，ナイトクラブ</t>
  </si>
  <si>
    <t>767 喫茶店</t>
  </si>
  <si>
    <t>781 洗濯業</t>
  </si>
  <si>
    <t>782 理容業</t>
  </si>
  <si>
    <t>783 美容業</t>
  </si>
  <si>
    <t>823 学習塾</t>
  </si>
  <si>
    <t>824 教養・技能教授業</t>
  </si>
  <si>
    <t>835 療術業</t>
  </si>
  <si>
    <t>579 その他の織物・衣服・身の回り品小売業</t>
  </si>
  <si>
    <t>586 菓子・パン小売業</t>
  </si>
  <si>
    <t>691 不動産賃貸業（貸家業，貸間業を除く）</t>
  </si>
  <si>
    <t>693 駐車場業</t>
  </si>
  <si>
    <t>694 不動産管理業</t>
  </si>
  <si>
    <t>742 土木建築サービス業</t>
  </si>
  <si>
    <t>769 その他の飲食店</t>
  </si>
  <si>
    <t>833 歯科診療所</t>
  </si>
  <si>
    <t>066 建築リフォーム工事業</t>
  </si>
  <si>
    <t>151 印刷業</t>
  </si>
  <si>
    <t>585 酒小売業</t>
  </si>
  <si>
    <t>192 ゴム製・プラスチック製履物・同附属品製造業</t>
  </si>
  <si>
    <t>204 革製履物製造業</t>
  </si>
  <si>
    <t>266 金属加工機械製造業</t>
  </si>
  <si>
    <t>593 機械器具小売業（自動車，自転車を除く）</t>
  </si>
  <si>
    <t>083 管工事業（さく井工事業を除く）</t>
  </si>
  <si>
    <t>432 一般乗用旅客自動車運送業</t>
  </si>
  <si>
    <t>559 他に分類されない卸売業</t>
  </si>
  <si>
    <t>721 法律事務所，特許事務所</t>
  </si>
  <si>
    <t>724 公認会計士事務所，税理士事務所</t>
  </si>
  <si>
    <t>789 その他の洗濯・理容・美容・浴場業</t>
  </si>
  <si>
    <t>891 自動車整備業</t>
  </si>
  <si>
    <t>065 木造建築工事業</t>
  </si>
  <si>
    <t>077 塗装工事業</t>
  </si>
  <si>
    <t>206 かばん製造業</t>
  </si>
  <si>
    <t>751 旅館，ホテル</t>
  </si>
  <si>
    <t>761 食堂，レストラン（専門料理店を除く）</t>
  </si>
  <si>
    <t>605 燃料小売業</t>
  </si>
  <si>
    <t>112 織物業</t>
  </si>
  <si>
    <t>115 綱・網・レース・繊維粗製品製造業</t>
  </si>
  <si>
    <t>119 その他の繊維製品製造業</t>
  </si>
  <si>
    <t>325 がん具・運動用具製造業</t>
  </si>
  <si>
    <t>242 洋食器・刃物・手道具・金物類製造業</t>
  </si>
  <si>
    <t>326 ペン・鉛筆・絵画用品・その他の事務用品製造業</t>
  </si>
  <si>
    <t>602 じゅう器小売業</t>
  </si>
  <si>
    <t>722 公証人役場，司法書士事務所，土地家屋調査士事務所</t>
  </si>
  <si>
    <t>071 大工工事業</t>
  </si>
  <si>
    <t>183 工業用プラスチック製品製造業</t>
  </si>
  <si>
    <t>244 建設用・建築用金属製品製造業（製缶板金業を含む）</t>
  </si>
  <si>
    <t>245 金属素形材製品製造業</t>
  </si>
  <si>
    <t>253 一般産業用機械・装置製造業</t>
  </si>
  <si>
    <t>269 その他の生産用機械・同部分品製造業</t>
  </si>
  <si>
    <t>311 自動車・同附属品製造業</t>
  </si>
  <si>
    <t>075 左官工事業</t>
  </si>
  <si>
    <t>214 陶磁器・同関連製品製造業</t>
  </si>
  <si>
    <t>079 その他の職別工事業</t>
  </si>
  <si>
    <t>121 製材業，木製品製造業</t>
  </si>
  <si>
    <t>099 その他の食料品製造業</t>
  </si>
  <si>
    <t>213 建設用粘土製品製造業（陶磁器製を除く）</t>
  </si>
  <si>
    <t>521 農畜産物・水産物卸売業</t>
  </si>
  <si>
    <t>531 建築材料卸売業</t>
  </si>
  <si>
    <t>601 家具・建具・畳小売業</t>
  </si>
  <si>
    <t>092 水産食料品製造業</t>
  </si>
  <si>
    <t>329 他に分類されない製造業</t>
  </si>
  <si>
    <t>584 鮮魚小売業</t>
  </si>
  <si>
    <t>571 呉服・服地・寝具小売業</t>
  </si>
  <si>
    <t>201 なめし革製造業</t>
  </si>
  <si>
    <t>674 保険媒介代理業</t>
  </si>
  <si>
    <t>728 経営コンサルタント業，純粋持株会社</t>
  </si>
  <si>
    <t>799 他に分類されない生活関連サービス業</t>
  </si>
  <si>
    <t>111 製糸業，紡績業，化学繊維・ねん糸等製造業</t>
  </si>
  <si>
    <t>114 染色整理業</t>
  </si>
  <si>
    <t>794 物品預り業</t>
  </si>
  <si>
    <t>184 発泡・強化プラスチック製品製造業</t>
  </si>
  <si>
    <t>189 その他のプラスチック製品製造業</t>
  </si>
  <si>
    <t>225 鉄素形材製造業</t>
  </si>
  <si>
    <t>611 通信販売・訪問販売小売業</t>
  </si>
  <si>
    <t>産業小分類</t>
  </si>
  <si>
    <t>28000　兵庫県</t>
  </si>
  <si>
    <t>産業大分類</t>
  </si>
  <si>
    <t>合計</t>
  </si>
  <si>
    <t/>
  </si>
  <si>
    <t>A 農業，林業</t>
  </si>
  <si>
    <t xml:space="preserve"> </t>
  </si>
  <si>
    <t xml:space="preserve">  </t>
  </si>
  <si>
    <t>B 漁業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</si>
  <si>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</si>
  <si>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</si>
  <si>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</si>
  <si>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</si>
  <si>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</si>
  <si>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※当資料は『平成28年経済センサス-活動調査』の調査結果データより作成したものです。</t>
  </si>
  <si>
    <t>28100　神戸市</t>
  </si>
  <si>
    <t xml:space="preserve">   </t>
    <phoneticPr fontId="1"/>
  </si>
  <si>
    <t>産業中分類上位２０</t>
    <phoneticPr fontId="1"/>
  </si>
  <si>
    <t>産業小分類上位２０</t>
    <phoneticPr fontId="1"/>
  </si>
  <si>
    <t>28101　神戸市東灘区</t>
  </si>
  <si>
    <t xml:space="preserve"> </t>
    <phoneticPr fontId="1"/>
  </si>
  <si>
    <t xml:space="preserve">  </t>
    <phoneticPr fontId="1"/>
  </si>
  <si>
    <t>産業中分類上位２０</t>
    <phoneticPr fontId="1"/>
  </si>
  <si>
    <t>28102　神戸市灘区</t>
  </si>
  <si>
    <t xml:space="preserve"> </t>
    <phoneticPr fontId="1"/>
  </si>
  <si>
    <t xml:space="preserve">  </t>
    <phoneticPr fontId="1"/>
  </si>
  <si>
    <t>産業中分類上位２０</t>
    <phoneticPr fontId="1"/>
  </si>
  <si>
    <t>28105　神戸市兵庫区</t>
  </si>
  <si>
    <t xml:space="preserve">  </t>
    <phoneticPr fontId="1"/>
  </si>
  <si>
    <t>28106　神戸市長田区</t>
  </si>
  <si>
    <t xml:space="preserve"> </t>
    <phoneticPr fontId="1"/>
  </si>
  <si>
    <t xml:space="preserve">  </t>
    <phoneticPr fontId="1"/>
  </si>
  <si>
    <t>産業小分類上位２０</t>
    <phoneticPr fontId="1"/>
  </si>
  <si>
    <t>28107　神戸市須磨区</t>
  </si>
  <si>
    <t xml:space="preserve"> </t>
    <phoneticPr fontId="1"/>
  </si>
  <si>
    <t xml:space="preserve">  </t>
    <phoneticPr fontId="1"/>
  </si>
  <si>
    <t>産業小分類上位２０</t>
    <phoneticPr fontId="1"/>
  </si>
  <si>
    <t>28108　神戸市垂水区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</si>
  <si>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</si>
  <si>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</si>
  <si>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</si>
  <si>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</si>
  <si>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</si>
  <si>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28109　神戸市北区</t>
  </si>
  <si>
    <t xml:space="preserve"> </t>
    <phoneticPr fontId="1"/>
  </si>
  <si>
    <t>産業中分類上位２０</t>
    <phoneticPr fontId="1"/>
  </si>
  <si>
    <t>28110　神戸市中央区</t>
  </si>
  <si>
    <t xml:space="preserve"> </t>
    <phoneticPr fontId="1"/>
  </si>
  <si>
    <t>産業中分類上位２０</t>
    <phoneticPr fontId="1"/>
  </si>
  <si>
    <t>28111　神戸市西区</t>
  </si>
  <si>
    <t xml:space="preserve"> </t>
    <phoneticPr fontId="1"/>
  </si>
  <si>
    <t xml:space="preserve">  </t>
    <phoneticPr fontId="1"/>
  </si>
  <si>
    <t>28201　姫路市</t>
  </si>
  <si>
    <t xml:space="preserve"> </t>
    <phoneticPr fontId="1"/>
  </si>
  <si>
    <t xml:space="preserve">  </t>
    <phoneticPr fontId="1"/>
  </si>
  <si>
    <t xml:space="preserve">   </t>
    <phoneticPr fontId="1"/>
  </si>
  <si>
    <t>28202　尼崎市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</si>
  <si>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</si>
  <si>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</si>
  <si>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</si>
  <si>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</si>
  <si>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28203　明石市</t>
  </si>
  <si>
    <t xml:space="preserve">   </t>
    <phoneticPr fontId="1"/>
  </si>
  <si>
    <t>産業中分類上位２０</t>
    <phoneticPr fontId="1"/>
  </si>
  <si>
    <t>産業小分類上位２０</t>
    <phoneticPr fontId="1"/>
  </si>
  <si>
    <t>28204　西宮市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</si>
  <si>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</si>
  <si>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</si>
  <si>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</si>
  <si>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</si>
  <si>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28205　洲本市</t>
  </si>
  <si>
    <t xml:space="preserve"> </t>
    <phoneticPr fontId="1"/>
  </si>
  <si>
    <t xml:space="preserve">  </t>
    <phoneticPr fontId="1"/>
  </si>
  <si>
    <t>産業小分類上位２０</t>
    <phoneticPr fontId="1"/>
  </si>
  <si>
    <t>28206　芦屋市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</si>
  <si>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</si>
  <si>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</si>
  <si>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</si>
  <si>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</si>
  <si>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28207　伊丹市</t>
  </si>
  <si>
    <t xml:space="preserve">   </t>
    <phoneticPr fontId="1"/>
  </si>
  <si>
    <t>産業中分類上位２０</t>
    <phoneticPr fontId="1"/>
  </si>
  <si>
    <t>産業小分類上位２０</t>
    <phoneticPr fontId="1"/>
  </si>
  <si>
    <t>28208　相生市</t>
  </si>
  <si>
    <t xml:space="preserve">  </t>
    <phoneticPr fontId="1"/>
  </si>
  <si>
    <t xml:space="preserve">   </t>
    <phoneticPr fontId="1"/>
  </si>
  <si>
    <t>28209　豊岡市</t>
  </si>
  <si>
    <t>28210　加古川市</t>
  </si>
  <si>
    <t xml:space="preserve"> </t>
    <phoneticPr fontId="1"/>
  </si>
  <si>
    <t xml:space="preserve">  </t>
    <phoneticPr fontId="1"/>
  </si>
  <si>
    <t>28212　赤穂市</t>
  </si>
  <si>
    <t xml:space="preserve"> </t>
    <phoneticPr fontId="1"/>
  </si>
  <si>
    <t xml:space="preserve">  </t>
    <phoneticPr fontId="1"/>
  </si>
  <si>
    <t xml:space="preserve">   </t>
    <phoneticPr fontId="1"/>
  </si>
  <si>
    <t>28213　西脇市</t>
  </si>
  <si>
    <t xml:space="preserve">   </t>
    <phoneticPr fontId="1"/>
  </si>
  <si>
    <t>産業小分類上位２０</t>
    <phoneticPr fontId="1"/>
  </si>
  <si>
    <t>28214　宝塚市</t>
  </si>
  <si>
    <t xml:space="preserve">  </t>
    <phoneticPr fontId="1"/>
  </si>
  <si>
    <t>28215　三木市</t>
  </si>
  <si>
    <t xml:space="preserve"> </t>
    <phoneticPr fontId="1"/>
  </si>
  <si>
    <t xml:space="preserve">   </t>
    <phoneticPr fontId="1"/>
  </si>
  <si>
    <t>産業中分類上位２０</t>
    <phoneticPr fontId="1"/>
  </si>
  <si>
    <t>28216　高砂市</t>
  </si>
  <si>
    <t xml:space="preserve">   </t>
    <phoneticPr fontId="1"/>
  </si>
  <si>
    <t>28217　川西市</t>
  </si>
  <si>
    <t xml:space="preserve">   </t>
    <phoneticPr fontId="1"/>
  </si>
  <si>
    <t>産業中分類上位２０</t>
    <phoneticPr fontId="1"/>
  </si>
  <si>
    <t>産業小分類上位２０</t>
    <phoneticPr fontId="1"/>
  </si>
  <si>
    <t>28218　小野市</t>
  </si>
  <si>
    <t xml:space="preserve"> </t>
    <phoneticPr fontId="1"/>
  </si>
  <si>
    <t xml:space="preserve">  </t>
    <phoneticPr fontId="1"/>
  </si>
  <si>
    <t xml:space="preserve">   </t>
    <phoneticPr fontId="1"/>
  </si>
  <si>
    <t>28219　三田市</t>
  </si>
  <si>
    <t xml:space="preserve"> </t>
    <phoneticPr fontId="1"/>
  </si>
  <si>
    <t>28220　加西市</t>
  </si>
  <si>
    <t xml:space="preserve"> </t>
    <phoneticPr fontId="1"/>
  </si>
  <si>
    <t xml:space="preserve">   </t>
    <phoneticPr fontId="1"/>
  </si>
  <si>
    <t>産業小分類上位２０</t>
    <phoneticPr fontId="1"/>
  </si>
  <si>
    <t>28221　篠山市</t>
  </si>
  <si>
    <t xml:space="preserve">  </t>
    <phoneticPr fontId="1"/>
  </si>
  <si>
    <t xml:space="preserve">   </t>
    <phoneticPr fontId="1"/>
  </si>
  <si>
    <t>産業小分類上位２０</t>
    <phoneticPr fontId="1"/>
  </si>
  <si>
    <t>28222　養父市</t>
  </si>
  <si>
    <t>28223　丹波市</t>
  </si>
  <si>
    <t xml:space="preserve">  </t>
    <phoneticPr fontId="1"/>
  </si>
  <si>
    <t>産業中分類上位２０</t>
    <phoneticPr fontId="1"/>
  </si>
  <si>
    <t>28224　南あわじ市</t>
  </si>
  <si>
    <t xml:space="preserve"> </t>
    <phoneticPr fontId="1"/>
  </si>
  <si>
    <t xml:space="preserve">   </t>
    <phoneticPr fontId="1"/>
  </si>
  <si>
    <t>産業中分類上位２０</t>
    <phoneticPr fontId="1"/>
  </si>
  <si>
    <t>28225　朝来市</t>
  </si>
  <si>
    <t xml:space="preserve"> </t>
    <phoneticPr fontId="1"/>
  </si>
  <si>
    <t xml:space="preserve">  </t>
    <phoneticPr fontId="1"/>
  </si>
  <si>
    <t>28226　淡路市</t>
  </si>
  <si>
    <t xml:space="preserve"> </t>
    <phoneticPr fontId="1"/>
  </si>
  <si>
    <t>産業小分類上位２０</t>
    <phoneticPr fontId="1"/>
  </si>
  <si>
    <t>28227　宍粟市</t>
  </si>
  <si>
    <t xml:space="preserve"> </t>
    <phoneticPr fontId="1"/>
  </si>
  <si>
    <t xml:space="preserve">  </t>
    <phoneticPr fontId="1"/>
  </si>
  <si>
    <t>産業小分類上位２０</t>
    <phoneticPr fontId="1"/>
  </si>
  <si>
    <t>28228　加東市</t>
  </si>
  <si>
    <t xml:space="preserve">  </t>
    <phoneticPr fontId="1"/>
  </si>
  <si>
    <t>28229　たつの市</t>
  </si>
  <si>
    <t xml:space="preserve">  </t>
    <phoneticPr fontId="1"/>
  </si>
  <si>
    <t xml:space="preserve">   </t>
    <phoneticPr fontId="1"/>
  </si>
  <si>
    <t>28301　川辺郡猪名川町</t>
  </si>
  <si>
    <t xml:space="preserve"> </t>
    <phoneticPr fontId="1"/>
  </si>
  <si>
    <t xml:space="preserve">   </t>
    <phoneticPr fontId="1"/>
  </si>
  <si>
    <t>28365　多可郡多可町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</si>
  <si>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</si>
  <si>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</si>
  <si>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</si>
  <si>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</si>
  <si>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28381　加古郡稲美町</t>
  </si>
  <si>
    <t xml:space="preserve"> </t>
    <phoneticPr fontId="1"/>
  </si>
  <si>
    <t>産業中分類上位２０</t>
    <phoneticPr fontId="1"/>
  </si>
  <si>
    <t>28382　加古郡播磨町</t>
  </si>
  <si>
    <t xml:space="preserve">  </t>
    <phoneticPr fontId="1"/>
  </si>
  <si>
    <t>28442　神崎郡市川町</t>
  </si>
  <si>
    <t xml:space="preserve"> </t>
    <phoneticPr fontId="1"/>
  </si>
  <si>
    <t xml:space="preserve">  </t>
    <phoneticPr fontId="1"/>
  </si>
  <si>
    <t>28443　神崎郡福崎町</t>
  </si>
  <si>
    <t xml:space="preserve">  </t>
    <phoneticPr fontId="1"/>
  </si>
  <si>
    <t xml:space="preserve">   </t>
    <phoneticPr fontId="1"/>
  </si>
  <si>
    <t>28446　神崎郡神河町</t>
  </si>
  <si>
    <t xml:space="preserve">  </t>
    <phoneticPr fontId="1"/>
  </si>
  <si>
    <t>28464　揖保郡太子町</t>
  </si>
  <si>
    <t xml:space="preserve"> </t>
    <phoneticPr fontId="1"/>
  </si>
  <si>
    <t xml:space="preserve">   </t>
    <phoneticPr fontId="1"/>
  </si>
  <si>
    <t>28481　赤穂郡上郡町</t>
  </si>
  <si>
    <t xml:space="preserve">  </t>
    <phoneticPr fontId="1"/>
  </si>
  <si>
    <t xml:space="preserve">   </t>
    <phoneticPr fontId="1"/>
  </si>
  <si>
    <t>産業小分類上位２０</t>
    <phoneticPr fontId="1"/>
  </si>
  <si>
    <t>28501　佐用郡佐用町</t>
  </si>
  <si>
    <t>28585　美方郡香美町</t>
  </si>
  <si>
    <t xml:space="preserve">  </t>
    <phoneticPr fontId="1"/>
  </si>
  <si>
    <t xml:space="preserve">   </t>
    <phoneticPr fontId="1"/>
  </si>
  <si>
    <t>産業小分類上位２０</t>
    <phoneticPr fontId="1"/>
  </si>
  <si>
    <t>28586　美方郡新温泉町</t>
  </si>
  <si>
    <t>兵庫県</t>
  </si>
  <si>
    <t>神戸市</t>
  </si>
  <si>
    <t>神戸市東灘区</t>
  </si>
  <si>
    <t>神戸市灘区</t>
  </si>
  <si>
    <t>神戸市兵庫区</t>
  </si>
  <si>
    <t>神戸市長田区</t>
  </si>
  <si>
    <t>神戸市須磨区</t>
  </si>
  <si>
    <t>神戸市垂水区</t>
  </si>
  <si>
    <t>神戸市北区</t>
  </si>
  <si>
    <t>神戸市中央区</t>
  </si>
  <si>
    <t>神戸市西区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</si>
  <si>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</si>
  <si>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</si>
  <si>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</si>
  <si>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</si>
  <si>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</si>
  <si>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</si>
  <si>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</si>
  <si>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</si>
  <si>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</si>
  <si>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</si>
  <si>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</si>
  <si>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</si>
  <si>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</si>
  <si>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</si>
  <si>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</si>
  <si>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</si>
  <si>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</si>
  <si>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</si>
  <si>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</si>
  <si>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</si>
  <si>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</si>
  <si>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</si>
  <si>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</si>
  <si>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</si>
  <si>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</si>
  <si>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</si>
  <si>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</si>
  <si>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</si>
  <si>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川辺郡猪名川町</t>
  </si>
  <si>
    <t>多可郡多可町</t>
  </si>
  <si>
    <t>加古郡稲美町</t>
  </si>
  <si>
    <t>加古郡播磨町</t>
  </si>
  <si>
    <t>神崎郡市川町</t>
  </si>
  <si>
    <t>神崎郡福崎町</t>
  </si>
  <si>
    <t>神崎郡神河町</t>
  </si>
  <si>
    <t>揖保郡太子町</t>
  </si>
  <si>
    <t>赤穂郡上郡町</t>
  </si>
  <si>
    <t>佐用郡佐用町</t>
  </si>
  <si>
    <t>美方郡香美町</t>
  </si>
  <si>
    <t>美方郡新温泉町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</si>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</sst>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770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pivotCacheDefinition" Target="pivotCache/pivotCacheDefinition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3292.911688888889" createdVersion="5" refreshedVersion="5" minRefreshableVersion="3" recordCount="765">
  <cacheSource type="external" connectionId="1"/>
  <cacheFields count="18">
    <cacheField name="ti" numFmtId="0" sqlType="-8">
      <sharedItems/>
    </cacheField>
    <cacheField name="kencd" numFmtId="0" sqlType="-9">
      <sharedItems count="1">
        <s v="28"/>
      </sharedItems>
    </cacheField>
    <cacheField name="都道府県" numFmtId="0" sqlType="-9">
      <sharedItems count="1">
        <s v="28 兵庫県"/>
      </sharedItems>
    </cacheField>
    <cacheField name="ti_level" numFmtId="0" sqlType="-8">
      <sharedItems count="5">
        <s v="1"/>
        <s v="2"/>
        <s v="3"/>
        <s v="4"/>
        <s v="6"/>
      </sharedItems>
    </cacheField>
    <cacheField name="自治体名" numFmtId="0" sqlType="-9">
      <sharedItems/>
    </cacheField>
    <cacheField name="自治体" numFmtId="0" sqlType="-9">
      <sharedItems count="51">
        <s v="28000 兵庫県"/>
        <s v="28100 神戸市"/>
        <s v="28101 神戸市東灘区"/>
        <s v="28102 神戸市灘区"/>
        <s v="28105 神戸市兵庫区"/>
        <s v="28106 神戸市長田区"/>
        <s v="28107 神戸市須磨区"/>
        <s v="28108 神戸市垂水区"/>
        <s v="28109 神戸市北区"/>
        <s v="28110 神戸市中央区"/>
        <s v="28111 神戸市西区"/>
        <s v="28201 姫路市"/>
        <s v="28202 尼崎市"/>
        <s v="28203 明石市"/>
        <s v="28204 西宮市"/>
        <s v="28205 洲本市"/>
        <s v="28206 芦屋市"/>
        <s v="28207 伊丹市"/>
        <s v="28208 相生市"/>
        <s v="28209 豊岡市"/>
        <s v="28210 加古川市"/>
        <s v="28212 赤穂市"/>
        <s v="28213 西脇市"/>
        <s v="28214 宝塚市"/>
        <s v="28215 三木市"/>
        <s v="28216 高砂市"/>
        <s v="28217 川西市"/>
        <s v="28218 小野市"/>
        <s v="28219 三田市"/>
        <s v="28220 加西市"/>
        <s v="28221 篠山市"/>
        <s v="28222 養父市"/>
        <s v="28223 丹波市"/>
        <s v="28224 南あわじ市"/>
        <s v="28225 朝来市"/>
        <s v="28226 淡路市"/>
        <s v="28227 宍粟市"/>
        <s v="28228 加東市"/>
        <s v="28229 たつの市"/>
        <s v="28301 川辺郡猪名川町"/>
        <s v="28365 多可郡多可町"/>
        <s v="28381 加古郡稲美町"/>
        <s v="28382 加古郡播磨町"/>
        <s v="28442 神崎郡市川町"/>
        <s v="28443 神崎郡福崎町"/>
        <s v="28446 神崎郡神河町"/>
        <s v="28464 揖保郡太子町"/>
        <s v="28481 赤穂郡上郡町"/>
        <s v="28501 佐用郡佐用町"/>
        <s v="28585 美方郡香美町"/>
        <s v="28586 美方郡新温泉町"/>
      </sharedItems>
    </cacheField>
    <cacheField name="san" numFmtId="0" sqlType="-8">
      <sharedItems count="15">
        <s v="sanC1.0026"/>
        <s v="sanC1.0035"/>
        <s v="sanC1.0062"/>
        <s v="sanC1.0268"/>
        <s v="sanC1.0283"/>
        <s v="sanC1.0314"/>
        <s v="sanC1.0356"/>
        <s v="sanC1.0450"/>
        <s v="sanC1.0481"/>
        <s v="sanC1.0504"/>
        <s v="sanC1.0543"/>
        <s v="sanC1.0575"/>
        <s v="sanC1.0622"/>
        <s v="sanC1.0655"/>
        <s v="sanC1.0701"/>
      </sharedItems>
    </cacheField>
    <cacheField name="産業分類コード" numFmtId="0" sqlType="-9">
      <sharedItems count="15">
        <s v="C"/>
        <s v="D"/>
        <s v="E"/>
        <s v="F"/>
        <s v="G"/>
        <s v="H"/>
        <s v="I"/>
        <s v="J"/>
        <s v="K"/>
        <s v="L"/>
        <s v="M"/>
        <s v="N"/>
        <s v="O"/>
        <s v="P"/>
        <s v="R"/>
      </sharedItems>
    </cacheField>
    <cacheField name="産業分類" numFmtId="0" sqlType="-9">
      <sharedItems count="15">
        <s v="鉱業，採石業，砂利採取業"/>
        <s v="建設業"/>
        <s v="製造業"/>
        <s v="電気・ガス・熱供給・水道業"/>
        <s v="情報通信業"/>
        <s v="運輸業，郵便業"/>
        <s v="卸売業，小売業"/>
        <s v="金融業，保険業"/>
        <s v="不動産業，物品賃貸業"/>
        <s v="学術研究，専門・技術サービス業"/>
        <s v="宿泊業，飲食サービス業"/>
        <s v="生活関連サービス業，娯楽業"/>
        <s v="教育，学習支援業"/>
        <s v="医療，福祉"/>
        <s v="サービス業（他に分類されないもの）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3">
      <sharedItems containsSemiMixedTypes="0" containsString="0" containsNumber="1" containsInteger="1" minValue="0" maxValue="30921"/>
    </cacheField>
    <cacheField name="構成比" numFmtId="0" sqlType="3">
      <sharedItems containsSemiMixedTypes="0" containsString="0" containsNumber="1" minValue="0" maxValue="36.83"/>
    </cacheField>
    <cacheField name="総数（個人）" numFmtId="0" sqlType="3">
      <sharedItems containsSemiMixedTypes="0" containsString="0" containsNumber="1" containsInteger="1" minValue="0" maxValue="16789"/>
    </cacheField>
    <cacheField name="構成比（個人）" numFmtId="0" sqlType="3">
      <sharedItems containsSemiMixedTypes="0" containsString="0" containsNumber="1" minValue="0" maxValue="44"/>
    </cacheField>
    <cacheField name="総数（法人）" numFmtId="0" sqlType="3">
      <sharedItems containsSemiMixedTypes="0" containsString="0" containsNumber="1" containsInteger="1" minValue="0" maxValue="14090"/>
    </cacheField>
    <cacheField name="構成比（法人）" numFmtId="0" sqlType="3">
      <sharedItems containsSemiMixedTypes="0" containsString="0" containsNumber="1" minValue="0" maxValue="47.68"/>
    </cacheField>
    <cacheField name="総数（法人以外の団体）" numFmtId="0" sqlType="3">
      <sharedItems containsSemiMixedTypes="0" containsString="0" containsNumber="1" containsInteger="1" minValue="0" maxValue="70" count="20">
        <n v="0"/>
        <n v="2"/>
        <n v="12"/>
        <n v="3"/>
        <n v="11"/>
        <n v="42"/>
        <n v="1"/>
        <n v="24"/>
        <n v="5"/>
        <n v="14"/>
        <n v="15"/>
        <n v="36"/>
        <n v="18"/>
        <n v="70"/>
        <n v="7"/>
        <n v="10"/>
        <n v="4"/>
        <n v="9"/>
        <n v="8"/>
        <n v="6"/>
      </sharedItems>
    </cacheField>
    <cacheField name="構成比（法人以外の団体）" numFmtId="0" sqlType="3">
      <sharedItems containsString="0" containsBlank="1" containsNumb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3292.91177604167" createdVersion="5" refreshedVersion="5" minRefreshableVersion="3" recordCount="1050">
  <cacheSource type="external" connectionId="2"/>
  <cacheFields count="19">
    <cacheField name="ti" numFmtId="0" sqlType="-8">
      <sharedItems count="51">
        <s v="ti.28000"/>
        <s v="ti.28100"/>
        <s v="ti.28101"/>
        <s v="ti.28102"/>
        <s v="ti.28105"/>
        <s v="ti.28106"/>
        <s v="ti.28107"/>
        <s v="ti.28108"/>
        <s v="ti.28109"/>
        <s v="ti.28110"/>
        <s v="ti.28111"/>
        <s v="ti.28201"/>
        <s v="ti.28202"/>
        <s v="ti.28203"/>
        <s v="ti.28204"/>
        <s v="ti.28205"/>
        <s v="ti.28206"/>
        <s v="ti.28207"/>
        <s v="ti.28208"/>
        <s v="ti.28209"/>
        <s v="ti.28210"/>
        <s v="ti.28212"/>
        <s v="ti.28213"/>
        <s v="ti.28214"/>
        <s v="ti.28215"/>
        <s v="ti.28216"/>
        <s v="ti.28217"/>
        <s v="ti.28218"/>
        <s v="ti.28219"/>
        <s v="ti.28220"/>
        <s v="ti.28221"/>
        <s v="ti.28222"/>
        <s v="ti.28223"/>
        <s v="ti.28224"/>
        <s v="ti.28225"/>
        <s v="ti.28226"/>
        <s v="ti.28227"/>
        <s v="ti.28228"/>
        <s v="ti.28229"/>
        <s v="ti.28301"/>
        <s v="ti.28365"/>
        <s v="ti.28381"/>
        <s v="ti.28382"/>
        <s v="ti.28442"/>
        <s v="ti.28443"/>
        <s v="ti.28446"/>
        <s v="ti.28464"/>
        <s v="ti.28481"/>
        <s v="ti.28501"/>
        <s v="ti.28585"/>
        <s v="ti.28586"/>
      </sharedItems>
    </cacheField>
    <cacheField name="kencd" numFmtId="0" sqlType="-9">
      <sharedItems count="1">
        <s v="28"/>
      </sharedItems>
    </cacheField>
    <cacheField name="都道府県" numFmtId="0" sqlType="-9">
      <sharedItems count="1">
        <s v="28 兵庫県"/>
      </sharedItems>
    </cacheField>
    <cacheField name="ti_level" numFmtId="0" sqlType="-8">
      <sharedItems count="5">
        <s v="1"/>
        <s v="2"/>
        <s v="3"/>
        <s v="4"/>
        <s v="6"/>
      </sharedItems>
    </cacheField>
    <cacheField name="自治体名" numFmtId="0" sqlType="-9">
      <sharedItems count="51">
        <s v="兵庫県"/>
        <s v="神戸市"/>
        <s v="神戸市東灘区"/>
        <s v="神戸市灘区"/>
        <s v="神戸市兵庫区"/>
        <s v="神戸市長田区"/>
        <s v="神戸市須磨区"/>
        <s v="神戸市垂水区"/>
        <s v="神戸市北区"/>
        <s v="神戸市中央区"/>
        <s v="神戸市西区"/>
        <s v="姫路市"/>
        <s v="尼崎市"/>
        <s v="明石市"/>
        <s v="西宮市"/>
        <s v="洲本市"/>
        <s v="芦屋市"/>
        <s v="伊丹市"/>
        <s v="相生市"/>
        <s v="豊岡市"/>
        <s v="加古川市"/>
        <s v="赤穂市"/>
        <s v="西脇市"/>
        <s v="宝塚市"/>
        <s v="三木市"/>
        <s v="高砂市"/>
        <s v="川西市"/>
        <s v="小野市"/>
        <s v="三田市"/>
        <s v="加西市"/>
        <s v="篠山市"/>
        <s v="養父市"/>
        <s v="丹波市"/>
        <s v="南あわじ市"/>
        <s v="朝来市"/>
        <s v="淡路市"/>
        <s v="宍粟市"/>
        <s v="加東市"/>
        <s v="たつの市"/>
        <s v="川辺郡猪名川町"/>
        <s v="多可郡多可町"/>
        <s v="加古郡稲美町"/>
        <s v="加古郡播磨町"/>
        <s v="神崎郡市川町"/>
        <s v="神崎郡福崎町"/>
        <s v="神崎郡神河町"/>
        <s v="揖保郡太子町"/>
        <s v="赤穂郡上郡町"/>
        <s v="佐用郡佐用町"/>
        <s v="美方郡香美町"/>
        <s v="美方郡新温泉町"/>
      </sharedItems>
    </cacheField>
    <cacheField name="自治体" numFmtId="0" sqlType="-9">
      <sharedItems count="51">
        <s v="28000 兵庫県"/>
        <s v="28100 神戸市"/>
        <s v="28101 神戸市東灘区"/>
        <s v="28102 神戸市灘区"/>
        <s v="28105 神戸市兵庫区"/>
        <s v="28106 神戸市長田区"/>
        <s v="28107 神戸市須磨区"/>
        <s v="28108 神戸市垂水区"/>
        <s v="28109 神戸市北区"/>
        <s v="28110 神戸市中央区"/>
        <s v="28111 神戸市西区"/>
        <s v="28201 姫路市"/>
        <s v="28202 尼崎市"/>
        <s v="28203 明石市"/>
        <s v="28204 西宮市"/>
        <s v="28205 洲本市"/>
        <s v="28206 芦屋市"/>
        <s v="28207 伊丹市"/>
        <s v="28208 相生市"/>
        <s v="28209 豊岡市"/>
        <s v="28210 加古川市"/>
        <s v="28212 赤穂市"/>
        <s v="28213 西脇市"/>
        <s v="28214 宝塚市"/>
        <s v="28215 三木市"/>
        <s v="28216 高砂市"/>
        <s v="28217 川西市"/>
        <s v="28218 小野市"/>
        <s v="28219 三田市"/>
        <s v="28220 加西市"/>
        <s v="28221 篠山市"/>
        <s v="28222 養父市"/>
        <s v="28223 丹波市"/>
        <s v="28224 南あわじ市"/>
        <s v="28225 朝来市"/>
        <s v="28226 淡路市"/>
        <s v="28227 宍粟市"/>
        <s v="28228 加東市"/>
        <s v="28229 たつの市"/>
        <s v="28301 川辺郡猪名川町"/>
        <s v="28365 多可郡多可町"/>
        <s v="28381 加古郡稲美町"/>
        <s v="28382 加古郡播磨町"/>
        <s v="28442 神崎郡市川町"/>
        <s v="28443 神崎郡福崎町"/>
        <s v="28446 神崎郡神河町"/>
        <s v="28464 揖保郡太子町"/>
        <s v="28481 赤穂郡上郡町"/>
        <s v="28501 佐用郡佐用町"/>
        <s v="28585 美方郡香美町"/>
        <s v="28586 美方郡新温泉町"/>
      </sharedItems>
    </cacheField>
    <cacheField name="san" numFmtId="0" sqlType="-8">
      <sharedItems count="49">
        <s v="sanC1.0554"/>
        <s v="sanC1.0576"/>
        <s v="sanC1.0427"/>
        <s v="sanC1.0487"/>
        <s v="sanC1.0036"/>
        <s v="sanC1.0411"/>
        <s v="sanC1.0636"/>
        <s v="sanC1.0404"/>
        <s v="sanC1.0656"/>
        <s v="sanC1.0044"/>
        <s v="sanC1.0422"/>
        <s v="sanC1.0055"/>
        <s v="sanC1.0509"/>
        <s v="sanC1.0531"/>
        <s v="sanC1.0483"/>
        <s v="sanC1.0377"/>
        <s v="sanC1.0187"/>
        <s v="sanC1.0391"/>
        <s v="sanC1.0586"/>
        <s v="sanC1.0385"/>
        <s v="sanC1.0672"/>
        <s v="sanC1.0368"/>
        <s v="sanC1.0324"/>
        <s v="sanC1.0733"/>
        <s v="sanC1.0113"/>
        <s v="sanC1.0143"/>
        <s v="sanC1.0204"/>
        <s v="sanC1.0149"/>
        <s v="sanC1.0363"/>
        <s v="sanC1.0445"/>
        <s v="sanC1.0318"/>
        <s v="sanC1.0571"/>
        <s v="sanC1.0720"/>
        <s v="sanC1.0545"/>
        <s v="sanC1.0063"/>
        <s v="sanC1.0599"/>
        <s v="sanC1.0082"/>
        <s v="sanC1.0474"/>
        <s v="sanC1.0253"/>
        <s v="sanC1.0093"/>
        <s v="sanC1.0723"/>
        <s v="sanC1.0198"/>
        <s v="sanC1.0135"/>
        <s v="sanC1.0245"/>
        <s v="sanC1.0160"/>
        <s v="sanC1.0099"/>
        <s v="sanC1.0171"/>
        <s v="sanC1.0304"/>
        <s v="sanC1.0345"/>
      </sharedItems>
    </cacheField>
    <cacheField name="産業分類コード" numFmtId="0" sqlType="-9">
      <sharedItems count="49">
        <s v="76"/>
        <s v="78"/>
        <s v="60"/>
        <s v="69"/>
        <s v="06"/>
        <s v="58"/>
        <s v="82"/>
        <s v="57"/>
        <s v="83"/>
        <s v="07"/>
        <s v="59"/>
        <s v="08"/>
        <s v="72"/>
        <s v="74"/>
        <s v="68"/>
        <s v="53"/>
        <s v="24"/>
        <s v="55"/>
        <s v="79"/>
        <s v="54"/>
        <s v="85"/>
        <s v="52"/>
        <s v="44"/>
        <s v="92"/>
        <s v="15"/>
        <s v="19"/>
        <s v="26"/>
        <s v="20"/>
        <s v="51"/>
        <s v="61"/>
        <s v="43"/>
        <s v="77"/>
        <s v="89"/>
        <s v="75"/>
        <s v="09"/>
        <s v="80"/>
        <s v="11"/>
        <s v="67"/>
        <s v="32"/>
        <s v="12"/>
        <s v="90"/>
        <s v="25"/>
        <s v="18"/>
        <s v="31"/>
        <s v="21"/>
        <s v="13"/>
        <s v="22"/>
        <s v="39"/>
        <s v="48"/>
      </sharedItems>
    </cacheField>
    <cacheField name="産業分類" numFmtId="0" sqlType="-9">
      <sharedItems count="49">
        <s v="飲食店"/>
        <s v="洗濯・理容・美容・浴場業"/>
        <s v="その他の小売業"/>
        <s v="不動産賃貸業・管理業"/>
        <s v="総合工事業"/>
        <s v="飲食料品小売業"/>
        <s v="その他の教育，学習支援業"/>
        <s v="織物・衣服・身の回り品小売業"/>
        <s v="医療業"/>
        <s v="職別工事業（設備工事業を除く）"/>
        <s v="機械器具小売業"/>
        <s v="設備工事業"/>
        <s v="専門サービス業（他に分類されないもの）"/>
        <s v="技術サービス業（他に分類されないもの）"/>
        <s v="不動産取引業"/>
        <s v="建築材料，鉱物・金属材料等卸売業"/>
        <s v="金属製品製造業"/>
        <s v="その他の卸売業"/>
        <s v="その他の生活関連サービス業"/>
        <s v="機械器具卸売業"/>
        <s v="社会保険・社会福祉・介護事業"/>
        <s v="飲食料品卸売業"/>
        <s v="道路貨物運送業"/>
        <s v="その他の事業サービス業"/>
        <s v="印刷・同関連業"/>
        <s v="ゴム製品製造業"/>
        <s v="生産用機械器具製造業"/>
        <s v="なめし革・同製品・毛皮製造業"/>
        <s v="繊維・衣服等卸売業"/>
        <s v="無店舗小売業"/>
        <s v="道路旅客運送業"/>
        <s v="持ち帰り・配達飲食サービス業"/>
        <s v="自動車整備業"/>
        <s v="宿泊業"/>
        <s v="食料品製造業"/>
        <s v="娯楽業"/>
        <s v="繊維工業"/>
        <s v="保険業（保険媒介代理業，保険サービス業を含む）"/>
        <s v="その他の製造業"/>
        <s v="木材・木製品製造業（家具を除く）"/>
        <s v="機械等修理業（別掲を除く）"/>
        <s v="はん用機械器具製造業"/>
        <s v="プラスチック製品製造業（別掲を除く）"/>
        <s v="輸送用機械器具製造業"/>
        <s v="窯業・土石製品製造業"/>
        <s v="家具・装備品製造業"/>
        <s v="鉄鋼業"/>
        <s v="情報サービス業"/>
        <s v="運輸に附帯するサービス業"/>
      </sharedItems>
    </cacheField>
    <cacheField name="産業中分類" numFmtId="0" sqlType="-9">
      <sharedItems count="49">
        <s v="76 飲食店"/>
        <s v="78 洗濯・理容・美容・浴場業"/>
        <s v="60 その他の小売業"/>
        <s v="69 不動産賃貸業・管理業"/>
        <s v="06 総合工事業"/>
        <s v="58 飲食料品小売業"/>
        <s v="82 その他の教育，学習支援業"/>
        <s v="57 織物・衣服・身の回り品小売業"/>
        <s v="83 医療業"/>
        <s v="07 職別工事業（設備工事業を除く）"/>
        <s v="59 機械器具小売業"/>
        <s v="08 設備工事業"/>
        <s v="72 専門サービス業（他に分類されないもの）"/>
        <s v="74 技術サービス業（他に分類されないもの）"/>
        <s v="68 不動産取引業"/>
        <s v="53 建築材料，鉱物・金属材料等卸売業"/>
        <s v="24 金属製品製造業"/>
        <s v="55 その他の卸売業"/>
        <s v="79 その他の生活関連サービス業"/>
        <s v="54 機械器具卸売業"/>
        <s v="85 社会保険・社会福祉・介護事業"/>
        <s v="52 飲食料品卸売業"/>
        <s v="44 道路貨物運送業"/>
        <s v="92 その他の事業サービス業"/>
        <s v="15 印刷・同関連業"/>
        <s v="19 ゴム製品製造業"/>
        <s v="26 生産用機械器具製造業"/>
        <s v="20 なめし革・同製品・毛皮製造業"/>
        <s v="51 繊維・衣服等卸売業"/>
        <s v="61 無店舗小売業"/>
        <s v="43 道路旅客運送業"/>
        <s v="77 持ち帰り・配達飲食サービス業"/>
        <s v="89 自動車整備業"/>
        <s v="75 宿泊業"/>
        <s v="09 食料品製造業"/>
        <s v="80 娯楽業"/>
        <s v="11 繊維工業"/>
        <s v="67 保険業（保険媒介代理業，保険サービス業を含む）"/>
        <s v="32 その他の製造業"/>
        <s v="12 木材・木製品製造業（家具を除く）"/>
        <s v="90 機械等修理業（別掲を除く）"/>
        <s v="25 はん用機械器具製造業"/>
        <s v="18 プラスチック製品製造業（別掲を除く）"/>
        <s v="31 輸送用機械器具製造業"/>
        <s v="21 窯業・土石製品製造業"/>
        <s v="13 家具・装備品製造業"/>
        <s v="22 鉄鋼業"/>
        <s v="39 情報サービス業"/>
        <s v="48 運輸に附帯するサービス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3" maxValue="17167" count="327">
        <n v="17167"/>
        <n v="11916"/>
        <n v="8928"/>
        <n v="8458"/>
        <n v="6665"/>
        <n v="6303"/>
        <n v="5015"/>
        <n v="4575"/>
        <n v="4091"/>
        <n v="3904"/>
        <n v="3657"/>
        <n v="3514"/>
        <n v="3353"/>
        <n v="2241"/>
        <n v="2167"/>
        <n v="1791"/>
        <n v="1720"/>
        <n v="1556"/>
        <n v="1542"/>
        <n v="1478"/>
        <n v="6501"/>
        <n v="3129"/>
        <n v="2907"/>
        <n v="2378"/>
        <n v="1899"/>
        <n v="1680"/>
        <n v="1434"/>
        <n v="1390"/>
        <n v="1326"/>
        <n v="1309"/>
        <n v="852"/>
        <n v="829"/>
        <n v="808"/>
        <n v="772"/>
        <n v="739"/>
        <n v="573"/>
        <n v="543"/>
        <n v="542"/>
        <n v="518"/>
        <n v="464"/>
        <n v="486"/>
        <n v="414"/>
        <n v="328"/>
        <n v="236"/>
        <n v="232"/>
        <n v="201"/>
        <n v="191"/>
        <n v="147"/>
        <n v="145"/>
        <n v="143"/>
        <n v="92"/>
        <n v="84"/>
        <n v="79"/>
        <n v="71"/>
        <n v="68"/>
        <n v="66"/>
        <n v="65"/>
        <n v="56"/>
        <n v="51"/>
        <n v="548"/>
        <n v="324"/>
        <n v="257"/>
        <n v="234"/>
        <n v="210"/>
        <n v="162"/>
        <n v="131"/>
        <n v="120"/>
        <n v="119"/>
        <n v="101"/>
        <n v="99"/>
        <n v="81"/>
        <n v="76"/>
        <n v="75"/>
        <n v="62"/>
        <n v="50"/>
        <n v="42"/>
        <n v="41"/>
        <n v="37"/>
        <n v="844"/>
        <n v="362"/>
        <n v="331"/>
        <n v="307"/>
        <n v="304"/>
        <n v="129"/>
        <n v="124"/>
        <n v="115"/>
        <n v="113"/>
        <n v="94"/>
        <n v="85"/>
        <n v="78"/>
        <n v="77"/>
        <n v="70"/>
        <n v="64"/>
        <n v="634"/>
        <n v="287"/>
        <n v="254"/>
        <n v="221"/>
        <n v="190"/>
        <n v="117"/>
        <n v="116"/>
        <n v="109"/>
        <n v="97"/>
        <n v="83"/>
        <n v="82"/>
        <n v="63"/>
        <n v="55"/>
        <n v="341"/>
        <n v="237"/>
        <n v="199"/>
        <n v="150"/>
        <n v="136"/>
        <n v="103"/>
        <n v="102"/>
        <n v="90"/>
        <n v="72"/>
        <n v="69"/>
        <n v="58"/>
        <n v="43"/>
        <n v="35"/>
        <n v="31"/>
        <n v="29"/>
        <n v="390"/>
        <n v="369"/>
        <n v="289"/>
        <n v="188"/>
        <n v="176"/>
        <n v="134"/>
        <n v="127"/>
        <n v="91"/>
        <n v="67"/>
        <n v="45"/>
        <n v="28"/>
        <n v="303"/>
        <n v="285"/>
        <n v="200"/>
        <n v="194"/>
        <n v="182"/>
        <n v="161"/>
        <n v="137"/>
        <n v="100"/>
        <n v="89"/>
        <n v="80"/>
        <n v="59"/>
        <n v="52"/>
        <n v="46"/>
        <n v="39"/>
        <n v="2787"/>
        <n v="856"/>
        <n v="806"/>
        <n v="785"/>
        <n v="750"/>
        <n v="610"/>
        <n v="354"/>
        <n v="243"/>
        <n v="235"/>
        <n v="227"/>
        <n v="222"/>
        <n v="189"/>
        <n v="185"/>
        <n v="184"/>
        <n v="133"/>
        <n v="114"/>
        <n v="272"/>
        <n v="233"/>
        <n v="216"/>
        <n v="207"/>
        <n v="155"/>
        <n v="74"/>
        <n v="1843"/>
        <n v="1348"/>
        <n v="1028"/>
        <n v="882"/>
        <n v="841"/>
        <n v="639"/>
        <n v="585"/>
        <n v="483"/>
        <n v="469"/>
        <n v="452"/>
        <n v="416"/>
        <n v="391"/>
        <n v="339"/>
        <n v="269"/>
        <n v="240"/>
        <n v="208"/>
        <n v="198"/>
        <n v="183"/>
        <n v="179"/>
        <n v="1694"/>
        <n v="1035"/>
        <n v="738"/>
        <n v="638"/>
        <n v="522"/>
        <n v="387"/>
        <n v="375"/>
        <n v="367"/>
        <n v="344"/>
        <n v="326"/>
        <n v="295"/>
        <n v="213"/>
        <n v="204"/>
        <n v="130"/>
        <n v="107"/>
        <n v="740"/>
        <n v="606"/>
        <n v="288"/>
        <n v="271"/>
        <n v="242"/>
        <n v="167"/>
        <n v="135"/>
        <n v="111"/>
        <n v="106"/>
        <n v="54"/>
        <n v="1091"/>
        <n v="888"/>
        <n v="834"/>
        <n v="580"/>
        <n v="412"/>
        <n v="338"/>
        <n v="329"/>
        <n v="316"/>
        <n v="230"/>
        <n v="148"/>
        <n v="141"/>
        <n v="96"/>
        <n v="95"/>
        <n v="128"/>
        <n v="48"/>
        <n v="47"/>
        <n v="44"/>
        <n v="30"/>
        <n v="26"/>
        <n v="23"/>
        <n v="20"/>
        <n v="19"/>
        <n v="18"/>
        <n v="197"/>
        <n v="110"/>
        <n v="88"/>
        <n v="87"/>
        <n v="57"/>
        <n v="22"/>
        <n v="17"/>
        <n v="408"/>
        <n v="348"/>
        <n v="223"/>
        <n v="192"/>
        <n v="140"/>
        <n v="126"/>
        <n v="125"/>
        <n v="38"/>
        <n v="49"/>
        <n v="40"/>
        <n v="21"/>
        <n v="13"/>
        <n v="12"/>
        <n v="11"/>
        <n v="9"/>
        <n v="8"/>
        <n v="470"/>
        <n v="276"/>
        <n v="262"/>
        <n v="193"/>
        <n v="151"/>
        <n v="121"/>
        <n v="105"/>
        <n v="36"/>
        <n v="631"/>
        <n v="563"/>
        <n v="381"/>
        <n v="311"/>
        <n v="282"/>
        <n v="248"/>
        <n v="181"/>
        <n v="172"/>
        <n v="166"/>
        <n v="53"/>
        <n v="34"/>
        <n v="14"/>
        <n v="205"/>
        <n v="154"/>
        <n v="142"/>
        <n v="33"/>
        <n v="25"/>
        <n v="24"/>
        <n v="349"/>
        <n v="327"/>
        <n v="165"/>
        <n v="163"/>
        <n v="86"/>
        <n v="212"/>
        <n v="174"/>
        <n v="73"/>
        <n v="27"/>
        <n v="297"/>
        <n v="209"/>
        <n v="104"/>
        <n v="60"/>
        <n v="15"/>
        <n v="268"/>
        <n v="263"/>
        <n v="220"/>
        <n v="169"/>
        <n v="146"/>
        <n v="32"/>
        <n v="139"/>
        <n v="16"/>
        <n v="93"/>
        <n v="122"/>
        <n v="61"/>
        <n v="195"/>
        <n v="160"/>
        <n v="157"/>
        <n v="173"/>
        <n v="171"/>
        <n v="132"/>
        <n v="138"/>
        <n v="123"/>
        <n v="252"/>
        <n v="159"/>
        <n v="170"/>
        <n v="118"/>
        <n v="10"/>
        <n v="7"/>
        <n v="6"/>
        <n v="5"/>
        <n v="4"/>
        <n v="3"/>
      </sharedItems>
    </cacheField>
    <cacheField name="構成比" numFmtId="0" sqlType="3">
      <sharedItems containsSemiMixedTypes="0" containsString="0" containsNumber="1" minValue="0.76" maxValue="25.39" count="554">
        <n v="13.87"/>
        <n v="9.6300000000000008"/>
        <n v="7.21"/>
        <n v="6.83"/>
        <n v="5.39"/>
        <n v="5.09"/>
        <n v="4.05"/>
        <n v="3.7"/>
        <n v="3.31"/>
        <n v="3.15"/>
        <n v="2.96"/>
        <n v="2.84"/>
        <n v="2.71"/>
        <n v="1.81"/>
        <n v="1.75"/>
        <n v="1.45"/>
        <n v="1.39"/>
        <n v="1.26"/>
        <n v="1.25"/>
        <n v="1.19"/>
        <n v="17.399999999999999"/>
        <n v="8.3699999999999992"/>
        <n v="7.78"/>
        <n v="6.36"/>
        <n v="5.08"/>
        <n v="4.5"/>
        <n v="3.84"/>
        <n v="3.72"/>
        <n v="3.55"/>
        <n v="3.5"/>
        <n v="2.2799999999999998"/>
        <n v="2.2200000000000002"/>
        <n v="2.16"/>
        <n v="2.0699999999999998"/>
        <n v="1.98"/>
        <n v="1.53"/>
        <n v="1.24"/>
        <n v="12.3"/>
        <n v="10.48"/>
        <n v="8.3000000000000007"/>
        <n v="5.97"/>
        <n v="5.87"/>
        <n v="4.83"/>
        <n v="3.67"/>
        <n v="3.62"/>
        <n v="2.33"/>
        <n v="2.13"/>
        <n v="2"/>
        <n v="1.8"/>
        <n v="1.72"/>
        <n v="1.67"/>
        <n v="1.64"/>
        <n v="1.42"/>
        <n v="1.29"/>
        <n v="16.89"/>
        <n v="9.98"/>
        <n v="7.92"/>
        <n v="6.47"/>
        <n v="4.99"/>
        <n v="4.04"/>
        <n v="3.11"/>
        <n v="3.05"/>
        <n v="2.5"/>
        <n v="2.34"/>
        <n v="2.31"/>
        <n v="1.91"/>
        <n v="1.54"/>
        <n v="1.1399999999999999"/>
        <n v="19.649999999999999"/>
        <n v="8.43"/>
        <n v="7.7"/>
        <n v="7.15"/>
        <n v="7.08"/>
        <n v="3.42"/>
        <n v="3"/>
        <n v="2.89"/>
        <n v="2.68"/>
        <n v="2.63"/>
        <n v="2.19"/>
        <n v="1.96"/>
        <n v="1.82"/>
        <n v="1.79"/>
        <n v="1.63"/>
        <n v="1.49"/>
        <n v="17.11"/>
        <n v="7.74"/>
        <n v="6.85"/>
        <n v="6.37"/>
        <n v="5.96"/>
        <n v="5.13"/>
        <n v="3.16"/>
        <n v="3.13"/>
        <n v="2.94"/>
        <n v="2.62"/>
        <n v="2.48"/>
        <n v="2.29"/>
        <n v="2.2400000000000002"/>
        <n v="2.21"/>
        <n v="2.0499999999999998"/>
        <n v="1.7"/>
        <n v="1.51"/>
        <n v="1.48"/>
        <n v="14.28"/>
        <n v="9.92"/>
        <n v="8.33"/>
        <n v="6.28"/>
        <n v="5.7"/>
        <n v="4.3099999999999996"/>
        <n v="4.2699999999999996"/>
        <n v="3.77"/>
        <n v="3.43"/>
        <n v="3.02"/>
        <n v="2.4300000000000002"/>
        <n v="2.14"/>
        <n v="2.09"/>
        <n v="1.47"/>
        <n v="1.3"/>
        <n v="1.21"/>
        <n v="13.15"/>
        <n v="12.45"/>
        <n v="9.75"/>
        <n v="6.71"/>
        <n v="6.34"/>
        <n v="5.94"/>
        <n v="4.8899999999999997"/>
        <n v="4.5199999999999996"/>
        <n v="4.28"/>
        <n v="3.07"/>
        <n v="2.56"/>
        <n v="2.5299999999999998"/>
        <n v="2.2599999999999998"/>
        <n v="1.85"/>
        <n v="1.52"/>
        <n v="0.98"/>
        <n v="0.94"/>
        <n v="11.22"/>
        <n v="10.55"/>
        <n v="7.4"/>
        <n v="7.18"/>
        <n v="6.74"/>
        <n v="5.07"/>
        <n v="3.81"/>
        <n v="3.48"/>
        <n v="3.3"/>
        <n v="2.1800000000000002"/>
        <n v="1.93"/>
        <n v="1.89"/>
        <n v="1.55"/>
        <n v="1.44"/>
        <n v="25.39"/>
        <n v="7.8"/>
        <n v="7.34"/>
        <n v="5.56"/>
        <n v="3.23"/>
        <n v="2.77"/>
        <n v="2.02"/>
        <n v="1.69"/>
        <n v="1.68"/>
        <n v="1.22"/>
        <n v="1.07"/>
        <n v="1.04"/>
        <n v="8.68"/>
        <n v="7.43"/>
        <n v="6.89"/>
        <n v="6.6"/>
        <n v="4.9400000000000004"/>
        <n v="4.5599999999999996"/>
        <n v="4.34"/>
        <n v="3.96"/>
        <n v="3.6"/>
        <n v="2.93"/>
        <n v="2.65"/>
        <n v="2.46"/>
        <n v="2.36"/>
        <n v="2.23"/>
        <n v="2.04"/>
        <n v="1.66"/>
        <n v="13.42"/>
        <n v="9.82"/>
        <n v="7.49"/>
        <n v="6.42"/>
        <n v="6.12"/>
        <n v="4.6500000000000004"/>
        <n v="4.26"/>
        <n v="3.52"/>
        <n v="3.41"/>
        <n v="3.29"/>
        <n v="3.03"/>
        <n v="2.85"/>
        <n v="2.4700000000000002"/>
        <n v="1.33"/>
        <n v="16.88"/>
        <n v="10.31"/>
        <n v="7.35"/>
        <n v="5.2"/>
        <n v="3.86"/>
        <n v="3.74"/>
        <n v="3.66"/>
        <n v="3.25"/>
        <n v="2.3199999999999998"/>
        <n v="2.15"/>
        <n v="2.12"/>
        <n v="2.0299999999999998"/>
        <n v="1.1599999999999999"/>
        <n v="15.11"/>
        <n v="12.37"/>
        <n v="7.96"/>
        <n v="5.88"/>
        <n v="5.53"/>
        <n v="4.41"/>
        <n v="4.08"/>
        <n v="2.76"/>
        <n v="2.27"/>
        <n v="1.65"/>
        <n v="1.41"/>
        <n v="1.35"/>
        <n v="1.1000000000000001"/>
        <n v="14.21"/>
        <n v="11.57"/>
        <n v="10.86"/>
        <n v="7.56"/>
        <n v="5.37"/>
        <n v="4.88"/>
        <n v="4.4000000000000004"/>
        <n v="4.29"/>
        <n v="4.12"/>
        <n v="2.81"/>
        <n v="2.59"/>
        <n v="2.1"/>
        <n v="1.84"/>
        <n v="1.2"/>
        <n v="13.18"/>
        <n v="9.69"/>
        <n v="8.7899999999999991"/>
        <n v="8.27"/>
        <n v="6.52"/>
        <n v="4.3899999999999997"/>
        <n v="3.1"/>
        <n v="3.04"/>
        <n v="2.97"/>
        <n v="1.94"/>
        <n v="1.87"/>
        <n v="1.23"/>
        <n v="11.95"/>
        <n v="11.46"/>
        <n v="11.16"/>
        <n v="8.19"/>
        <n v="6.67"/>
        <n v="5.82"/>
        <n v="5.34"/>
        <n v="5.28"/>
        <n v="4"/>
        <n v="3.46"/>
        <n v="1.1499999999999999"/>
        <n v="1.03"/>
        <n v="13.28"/>
        <n v="11.32"/>
        <n v="7.26"/>
        <n v="6.31"/>
        <n v="6.25"/>
        <n v="4.33"/>
        <n v="4.0999999999999996"/>
        <n v="4.07"/>
        <n v="3.45"/>
        <n v="3.32"/>
        <n v="2.86"/>
        <n v="1.56"/>
        <n v="1.4"/>
        <n v="1.37"/>
        <n v="11.04"/>
        <n v="10.3"/>
        <n v="10.050000000000001"/>
        <n v="7.69"/>
        <n v="6.08"/>
        <n v="5.58"/>
        <n v="4.96"/>
        <n v="4.71"/>
        <n v="2.61"/>
        <n v="1.61"/>
        <n v="1.36"/>
        <n v="1.1200000000000001"/>
        <n v="0.99"/>
        <n v="14.38"/>
        <n v="8.44"/>
        <n v="8.01"/>
        <n v="5.9"/>
        <n v="4.62"/>
        <n v="4.16"/>
        <n v="3.27"/>
        <n v="3.21"/>
        <n v="3.09"/>
        <n v="3.06"/>
        <n v="2.2000000000000002"/>
        <n v="1.71"/>
        <n v="0.86"/>
        <n v="13.21"/>
        <n v="11.78"/>
        <n v="7.97"/>
        <n v="6.51"/>
        <n v="5.19"/>
        <n v="3.93"/>
        <n v="3.79"/>
        <n v="3.47"/>
        <n v="3.14"/>
        <n v="2.95"/>
        <n v="2.37"/>
        <n v="1.78"/>
        <n v="1.1299999999999999"/>
        <n v="1.1100000000000001"/>
        <n v="12.07"/>
        <n v="10.62"/>
        <n v="6.56"/>
        <n v="6.18"/>
        <n v="5.31"/>
        <n v="4.25"/>
        <n v="3.57"/>
        <n v="3.28"/>
        <n v="2.9"/>
        <n v="1.06"/>
        <n v="13.67"/>
        <n v="10.27"/>
        <n v="9.4700000000000006"/>
        <n v="4.5999999999999996"/>
        <n v="4.47"/>
        <n v="2.8"/>
        <n v="2.73"/>
        <n v="1.6"/>
        <n v="1.27"/>
        <n v="11.52"/>
        <n v="10.79"/>
        <n v="10.130000000000001"/>
        <n v="6.93"/>
        <n v="5.45"/>
        <n v="5.38"/>
        <n v="4.72"/>
        <n v="2.11"/>
        <n v="2.08"/>
        <n v="11.13"/>
        <n v="9.7100000000000009"/>
        <n v="9.1300000000000008"/>
        <n v="7.03"/>
        <n v="4.57"/>
        <n v="3.94"/>
        <n v="3.88"/>
        <n v="3.83"/>
        <n v="3.73"/>
        <n v="2.52"/>
        <n v="2.41"/>
        <n v="15.98"/>
        <n v="11.24"/>
        <n v="6.29"/>
        <n v="5.59"/>
        <n v="5.1100000000000003"/>
        <n v="4.9000000000000004"/>
        <n v="4.7300000000000004"/>
        <n v="4.46"/>
        <n v="1.02"/>
        <n v="0.97"/>
        <n v="0.81"/>
        <n v="11.03"/>
        <n v="9.23"/>
        <n v="7.09"/>
        <n v="5.33"/>
        <n v="2.6"/>
        <n v="2.06"/>
        <n v="1.76"/>
        <n v="1.43"/>
        <n v="1.38"/>
        <n v="1.34"/>
        <n v="10.17"/>
        <n v="8.17"/>
        <n v="7.53"/>
        <n v="6.73"/>
        <n v="3.44"/>
        <n v="2.64"/>
        <n v="1.92"/>
        <n v="10.11"/>
        <n v="9.31"/>
        <n v="8.51"/>
        <n v="8"/>
        <n v="7.42"/>
        <n v="4.8"/>
        <n v="2.98"/>
        <n v="2.91"/>
        <n v="2.25"/>
        <n v="8.23"/>
        <n v="8.14"/>
        <n v="7.88"/>
        <n v="6.3"/>
        <n v="4.38"/>
        <n v="3.59"/>
        <n v="3.33"/>
        <n v="2.4500000000000002"/>
        <n v="2.0099999999999998"/>
        <n v="1.31"/>
        <n v="10.64"/>
        <n v="10.029999999999999"/>
        <n v="9.15"/>
        <n v="7.67"/>
        <n v="7.5"/>
        <n v="5.32"/>
        <n v="5.14"/>
        <n v="3.92"/>
        <n v="3.75"/>
        <n v="2.88"/>
        <n v="1.74"/>
        <n v="1.57"/>
        <n v="1.05"/>
        <n v="9.59"/>
        <n v="8.5"/>
        <n v="6.55"/>
        <n v="6.07"/>
        <n v="5.22"/>
        <n v="4.9800000000000004"/>
        <n v="4.13"/>
        <n v="1.58"/>
        <n v="1.0900000000000001"/>
        <n v="9.74"/>
        <n v="9.5399999999999991"/>
        <n v="7.99"/>
        <n v="7.84"/>
        <n v="7.24"/>
        <n v="4.1399999999999997"/>
        <n v="3.69"/>
        <n v="3.54"/>
        <n v="3.2"/>
        <n v="2.5499999999999998"/>
        <n v="2.2999999999999998"/>
        <n v="1.9"/>
        <n v="1.5"/>
        <n v="9.6999999999999993"/>
        <n v="9.08"/>
        <n v="5.68"/>
        <n v="3.35"/>
        <n v="2.67"/>
        <n v="10.87"/>
        <n v="9.3699999999999992"/>
        <n v="8.77"/>
        <n v="8.4700000000000006"/>
        <n v="5.78"/>
        <n v="4.49"/>
        <n v="3.99"/>
        <n v="3.89"/>
        <n v="2.4900000000000002"/>
        <n v="1.99"/>
        <n v="10.44"/>
        <n v="9.8699999999999992"/>
        <n v="9.16"/>
        <n v="8.8000000000000007"/>
        <n v="7.3"/>
        <n v="6.44"/>
        <n v="3.36"/>
        <n v="1.86"/>
        <n v="15.91"/>
        <n v="10.039999999999999"/>
        <n v="8.4"/>
        <n v="6.57"/>
        <n v="4.55"/>
        <n v="3.91"/>
        <n v="1.01"/>
        <n v="0.88"/>
        <n v="10.74"/>
        <n v="8.84"/>
        <n v="5.0199999999999996"/>
        <n v="4.22"/>
        <n v="3.51"/>
        <n v="2.5099999999999998"/>
        <n v="8.5500000000000007"/>
        <n v="8.25"/>
        <n v="6.05"/>
        <n v="5.55"/>
        <n v="4.8499999999999996"/>
        <n v="3.85"/>
        <n v="3.65"/>
        <n v="10.88"/>
        <n v="9.1199999999999992"/>
        <n v="8.07"/>
        <n v="7.72"/>
        <n v="6.32"/>
        <n v="4.91"/>
        <n v="23.12"/>
        <n v="8.94"/>
        <n v="6.79"/>
        <n v="5.6"/>
        <n v="2.74"/>
        <n v="8.83"/>
        <n v="7.04"/>
        <n v="5.69"/>
        <n v="2.99"/>
        <n v="2.69"/>
        <n v="13.81"/>
        <n v="13.65"/>
        <n v="6.35"/>
        <n v="6.03"/>
        <n v="3.97"/>
        <n v="2.7"/>
        <n v="1.59"/>
        <n v="14.02"/>
        <n v="9.0299999999999994"/>
        <n v="8.41"/>
        <n v="8.1"/>
        <n v="5.3"/>
        <n v="3.12"/>
        <n v="9.91"/>
        <n v="8.11"/>
        <n v="5.23"/>
        <n v="3.78"/>
        <n v="1.62"/>
        <n v="11.56"/>
        <n v="9.5500000000000007"/>
        <n v="8.2899999999999991"/>
        <n v="6.78"/>
        <n v="4.0199999999999996"/>
        <n v="10.73"/>
        <n v="8.64"/>
        <n v="6.94"/>
        <n v="6.02"/>
        <n v="5.76"/>
        <n v="5.63"/>
        <n v="4.84"/>
        <n v="1.18"/>
        <n v="11.19"/>
        <n v="9.52"/>
        <n v="8.57"/>
        <n v="7.62"/>
        <n v="6.9"/>
        <n v="5.71"/>
        <n v="5.24"/>
        <n v="5"/>
        <n v="0.95"/>
        <n v="12.5"/>
        <n v="10.47"/>
        <n v="7.77"/>
        <n v="7.6"/>
        <n v="12.66"/>
        <n v="9.49"/>
        <n v="9.24"/>
        <n v="8.61"/>
        <n v="8.35"/>
        <n v="7.59"/>
        <n v="6.33"/>
        <n v="5.44"/>
        <n v="2.78"/>
        <n v="1.77"/>
        <n v="0.89"/>
        <n v="0.76"/>
        <n v="11.09"/>
        <n v="10.65"/>
        <n v="10.220000000000001"/>
        <n v="8.26"/>
        <n v="5.65"/>
        <n v="3.26"/>
        <n v="2.83"/>
        <n v="0.87"/>
      </sharedItems>
    </cacheField>
    <cacheField name="総数（個人）" numFmtId="0" sqlType="3">
      <sharedItems containsSemiMixedTypes="0" containsString="0" containsNumber="1" containsInteger="1" minValue="0" maxValue="15848" count="254">
        <n v="15848"/>
        <n v="10079"/>
        <n v="5331"/>
        <n v="3882"/>
        <n v="2064"/>
        <n v="4657"/>
        <n v="3835"/>
        <n v="2512"/>
        <n v="3668"/>
        <n v="2009"/>
        <n v="2341"/>
        <n v="1238"/>
        <n v="2519"/>
        <n v="1070"/>
        <n v="461"/>
        <n v="369"/>
        <n v="853"/>
        <n v="474"/>
        <n v="762"/>
        <n v="240"/>
        <n v="5933"/>
        <n v="2553"/>
        <n v="1154"/>
        <n v="1322"/>
        <n v="1282"/>
        <n v="834"/>
        <n v="1029"/>
        <n v="1002"/>
        <n v="264"/>
        <n v="1129"/>
        <n v="197"/>
        <n v="254"/>
        <n v="447"/>
        <n v="141"/>
        <n v="293"/>
        <n v="126"/>
        <n v="87"/>
        <n v="221"/>
        <n v="53"/>
        <n v="18"/>
        <n v="421"/>
        <n v="308"/>
        <n v="65"/>
        <n v="140"/>
        <n v="144"/>
        <n v="128"/>
        <n v="160"/>
        <n v="90"/>
        <n v="20"/>
        <n v="31"/>
        <n v="21"/>
        <n v="35"/>
        <n v="37"/>
        <n v="12"/>
        <n v="29"/>
        <n v="9"/>
        <n v="7"/>
        <n v="2"/>
        <n v="4"/>
        <n v="508"/>
        <n v="280"/>
        <n v="110"/>
        <n v="159"/>
        <n v="154"/>
        <n v="28"/>
        <n v="83"/>
        <n v="13"/>
        <n v="48"/>
        <n v="17"/>
        <n v="50"/>
        <n v="38"/>
        <n v="1"/>
        <n v="8"/>
        <n v="16"/>
        <n v="6"/>
        <n v="803"/>
        <n v="204"/>
        <n v="284"/>
        <n v="216"/>
        <n v="233"/>
        <n v="114"/>
        <n v="30"/>
        <n v="27"/>
        <n v="61"/>
        <n v="14"/>
        <n v="19"/>
        <n v="26"/>
        <n v="604"/>
        <n v="267"/>
        <n v="203"/>
        <n v="200"/>
        <n v="122"/>
        <n v="116"/>
        <n v="100"/>
        <n v="102"/>
        <n v="45"/>
        <n v="54"/>
        <n v="24"/>
        <n v="41"/>
        <n v="55"/>
        <n v="314"/>
        <n v="189"/>
        <n v="75"/>
        <n v="82"/>
        <n v="73"/>
        <n v="81"/>
        <n v="39"/>
        <n v="36"/>
        <n v="25"/>
        <n v="331"/>
        <n v="338"/>
        <n v="153"/>
        <n v="104"/>
        <n v="124"/>
        <n v="118"/>
        <n v="51"/>
        <n v="237"/>
        <n v="250"/>
        <n v="175"/>
        <n v="62"/>
        <n v="97"/>
        <n v="40"/>
        <n v="78"/>
        <n v="93"/>
        <n v="23"/>
        <n v="22"/>
        <n v="2518"/>
        <n v="664"/>
        <n v="342"/>
        <n v="256"/>
        <n v="476"/>
        <n v="196"/>
        <n v="80"/>
        <n v="133"/>
        <n v="32"/>
        <n v="5"/>
        <n v="66"/>
        <n v="11"/>
        <n v="120"/>
        <n v="181"/>
        <n v="60"/>
        <n v="177"/>
        <n v="70"/>
        <n v="77"/>
        <n v="56"/>
        <n v="3"/>
        <n v="15"/>
        <n v="1722"/>
        <n v="1140"/>
        <n v="645"/>
        <n v="516"/>
        <n v="242"/>
        <n v="479"/>
        <n v="467"/>
        <n v="149"/>
        <n v="305"/>
        <n v="194"/>
        <n v="357"/>
        <n v="276"/>
        <n v="125"/>
        <n v="43"/>
        <n v="169"/>
        <n v="1597"/>
        <n v="882"/>
        <n v="274"/>
        <n v="424"/>
        <n v="386"/>
        <n v="351"/>
        <n v="74"/>
        <n v="57"/>
        <n v="251"/>
        <n v="192"/>
        <n v="99"/>
        <n v="49"/>
        <n v="167"/>
        <n v="687"/>
        <n v="507"/>
        <n v="239"/>
        <n v="208"/>
        <n v="179"/>
        <n v="79"/>
        <n v="98"/>
        <n v="106"/>
        <n v="47"/>
        <n v="33"/>
        <n v="10"/>
        <n v="993"/>
        <n v="711"/>
        <n v="360"/>
        <n v="344"/>
        <n v="373"/>
        <n v="243"/>
        <n v="158"/>
        <n v="142"/>
        <n v="34"/>
        <n v="71"/>
        <n v="138"/>
        <n v="85"/>
        <n v="46"/>
        <n v="42"/>
        <n v="150"/>
        <n v="136"/>
        <n v="58"/>
        <n v="374"/>
        <n v="289"/>
        <n v="119"/>
        <n v="101"/>
        <n v="95"/>
        <n v="111"/>
        <n v="68"/>
        <n v="437"/>
        <n v="107"/>
        <n v="146"/>
        <n v="72"/>
        <n v="52"/>
        <n v="596"/>
        <n v="259"/>
        <n v="163"/>
        <n v="206"/>
        <n v="137"/>
        <n v="117"/>
        <n v="131"/>
        <n v="91"/>
        <n v="113"/>
        <n v="44"/>
        <n v="0"/>
        <n v="129"/>
        <n v="315"/>
        <n v="92"/>
        <n v="115"/>
        <n v="69"/>
        <n v="195"/>
        <n v="161"/>
        <n v="112"/>
        <n v="89"/>
        <n v="59"/>
        <n v="288"/>
        <n v="186"/>
        <n v="248"/>
        <n v="218"/>
        <n v="108"/>
        <n v="67"/>
        <n v="109"/>
        <n v="63"/>
        <n v="105"/>
        <n v="176"/>
        <n v="168"/>
        <n v="86"/>
        <n v="123"/>
        <n v="84"/>
        <n v="202"/>
        <n v="148"/>
        <n v="64"/>
        <n v="96"/>
      </sharedItems>
    </cacheField>
    <cacheField name="構成比（個人）" numFmtId="0" sqlType="3">
      <sharedItems containsSemiMixedTypes="0" containsString="0" containsNumber="1" minValue="0" maxValue="43.59" count="613">
        <n v="21.47"/>
        <n v="13.65"/>
        <n v="7.22"/>
        <n v="5.26"/>
        <n v="2.8"/>
        <n v="6.31"/>
        <n v="5.2"/>
        <n v="3.4"/>
        <n v="4.97"/>
        <n v="2.72"/>
        <n v="3.17"/>
        <n v="1.68"/>
        <n v="3.41"/>
        <n v="1.45"/>
        <n v="0.62"/>
        <n v="0.5"/>
        <n v="1.1599999999999999"/>
        <n v="0.64"/>
        <n v="1.03"/>
        <n v="0.33"/>
        <n v="28.76"/>
        <n v="12.38"/>
        <n v="5.59"/>
        <n v="6.41"/>
        <n v="6.21"/>
        <n v="4.04"/>
        <n v="4.99"/>
        <n v="4.8600000000000003"/>
        <n v="1.28"/>
        <n v="5.47"/>
        <n v="0.95"/>
        <n v="1.23"/>
        <n v="2.17"/>
        <n v="0.68"/>
        <n v="1.42"/>
        <n v="0.61"/>
        <n v="0.42"/>
        <n v="1.07"/>
        <n v="0.26"/>
        <n v="0.09"/>
        <n v="22.53"/>
        <n v="16.48"/>
        <n v="3.48"/>
        <n v="7.49"/>
        <n v="7.7"/>
        <n v="6.85"/>
        <n v="8.56"/>
        <n v="4.82"/>
        <n v="1.66"/>
        <n v="1.1200000000000001"/>
        <n v="1.87"/>
        <n v="1.98"/>
        <n v="1.55"/>
        <n v="0.48"/>
        <n v="0.37"/>
        <n v="0.11"/>
        <n v="0.21"/>
        <n v="26.39"/>
        <n v="14.55"/>
        <n v="5.71"/>
        <n v="8.26"/>
        <n v="8"/>
        <n v="7.32"/>
        <n v="4.68"/>
        <n v="4.3099999999999996"/>
        <n v="1.0900000000000001"/>
        <n v="2.4900000000000002"/>
        <n v="0.88"/>
        <n v="2.6"/>
        <n v="1.97"/>
        <n v="0.05"/>
        <n v="0.36"/>
        <n v="0.83"/>
        <n v="0.31"/>
        <n v="29.88"/>
        <n v="7.59"/>
        <n v="10.57"/>
        <n v="8.0399999999999991"/>
        <n v="8.67"/>
        <n v="4.24"/>
        <n v="1.3"/>
        <n v="1"/>
        <n v="2.27"/>
        <n v="2.42"/>
        <n v="0.52"/>
        <n v="0.63"/>
        <n v="0.71"/>
        <n v="0.97"/>
        <n v="1.08"/>
        <n v="24.53"/>
        <n v="10.84"/>
        <n v="8.25"/>
        <n v="8.1199999999999992"/>
        <n v="4.96"/>
        <n v="4.71"/>
        <n v="2.48"/>
        <n v="4.0599999999999996"/>
        <n v="4.1399999999999997"/>
        <n v="1.83"/>
        <n v="2.19"/>
        <n v="1.06"/>
        <n v="1.67"/>
        <n v="2.23"/>
        <n v="1.1000000000000001"/>
        <n v="2.0299999999999998"/>
        <n v="2.15"/>
        <n v="0.53"/>
        <n v="0.49"/>
        <n v="23.22"/>
        <n v="13.98"/>
        <n v="5.55"/>
        <n v="7.4"/>
        <n v="6.07"/>
        <n v="5.4"/>
        <n v="5.99"/>
        <n v="2.88"/>
        <n v="1.78"/>
        <n v="1.48"/>
        <n v="2.66"/>
        <n v="0.3"/>
        <n v="2.29"/>
        <n v="1.26"/>
        <n v="2.0699999999999998"/>
        <n v="1.85"/>
        <n v="1.33"/>
        <n v="7.0000000000000007E-2"/>
        <n v="18.71"/>
        <n v="19.11"/>
        <n v="7.91"/>
        <n v="8.65"/>
        <n v="5.88"/>
        <n v="7.01"/>
        <n v="1.53"/>
        <n v="6.67"/>
        <n v="3.45"/>
        <n v="1.19"/>
        <n v="3.11"/>
        <n v="0.73"/>
        <n v="1.36"/>
        <n v="0.06"/>
        <n v="0.4"/>
        <n v="0.23"/>
        <n v="16.86"/>
        <n v="17.78"/>
        <n v="12.45"/>
        <n v="4.41"/>
        <n v="6.9"/>
        <n v="2.84"/>
        <n v="6.61"/>
        <n v="2.2000000000000002"/>
        <n v="1.92"/>
        <n v="2.92"/>
        <n v="1.64"/>
        <n v="0.56999999999999995"/>
        <n v="1.56"/>
        <n v="2.7"/>
        <n v="0.92"/>
        <n v="43.59"/>
        <n v="11.49"/>
        <n v="5.92"/>
        <n v="4.43"/>
        <n v="5.85"/>
        <n v="8.24"/>
        <n v="3.39"/>
        <n v="4.1500000000000004"/>
        <n v="1.38"/>
        <n v="2.2999999999999998"/>
        <n v="0.55000000000000004"/>
        <n v="0.16"/>
        <n v="1.1399999999999999"/>
        <n v="0.19"/>
        <n v="0.47"/>
        <n v="0.24"/>
        <n v="0.12"/>
        <n v="8.68"/>
        <n v="13.09"/>
        <n v="4.34"/>
        <n v="12.8"/>
        <n v="5.0599999999999996"/>
        <n v="8.39"/>
        <n v="5.57"/>
        <n v="2.5299999999999998"/>
        <n v="2.02"/>
        <n v="4.7699999999999996"/>
        <n v="5.78"/>
        <n v="0.57999999999999996"/>
        <n v="1.81"/>
        <n v="4.05"/>
        <n v="1.74"/>
        <n v="0.22"/>
        <n v="0.43"/>
        <n v="20.79"/>
        <n v="13.76"/>
        <n v="7.79"/>
        <n v="6.23"/>
        <n v="5.64"/>
        <n v="3.19"/>
        <n v="1.8"/>
        <n v="3.68"/>
        <n v="2.34"/>
        <n v="3.33"/>
        <n v="1.51"/>
        <n v="0.6"/>
        <n v="2.04"/>
        <n v="0.75"/>
        <n v="27.16"/>
        <n v="15"/>
        <n v="4.66"/>
        <n v="7.21"/>
        <n v="6.56"/>
        <n v="5.97"/>
        <n v="1.58"/>
        <n v="4.2699999999999996"/>
        <n v="3.27"/>
        <n v="0.54"/>
        <n v="1.1100000000000001"/>
        <n v="0.39"/>
        <n v="23.48"/>
        <n v="17.329999999999998"/>
        <n v="8.17"/>
        <n v="7.11"/>
        <n v="3.08"/>
        <n v="6.7"/>
        <n v="6.12"/>
        <n v="3.35"/>
        <n v="3.62"/>
        <n v="1.61"/>
        <n v="1.1299999999999999"/>
        <n v="0.14000000000000001"/>
        <n v="0.34"/>
        <n v="16.809999999999999"/>
        <n v="8.51"/>
        <n v="8.1300000000000008"/>
        <n v="8.82"/>
        <n v="5.74"/>
        <n v="5.6"/>
        <n v="3.74"/>
        <n v="0.78"/>
        <n v="3.36"/>
        <n v="2.46"/>
        <n v="0.87"/>
        <n v="0.8"/>
        <n v="1.18"/>
        <n v="0.59"/>
        <n v="0.69"/>
        <n v="18.3"/>
        <n v="12.89"/>
        <n v="7.94"/>
        <n v="7.66"/>
        <n v="4.3"/>
        <n v="2.4300000000000002"/>
        <n v="2.89"/>
        <n v="3.92"/>
        <n v="4.2"/>
        <n v="2.0499999999999998"/>
        <n v="2.2400000000000002"/>
        <n v="1.21"/>
        <n v="0.93"/>
        <n v="1.72"/>
        <n v="19.82"/>
        <n v="17.97"/>
        <n v="9.91"/>
        <n v="7"/>
        <n v="4.62"/>
        <n v="1.32"/>
        <n v="0.13"/>
        <n v="0.79"/>
        <n v="23.03"/>
        <n v="17.8"/>
        <n v="3.26"/>
        <n v="7.33"/>
        <n v="6.22"/>
        <n v="6.83"/>
        <n v="4.5599999999999996"/>
        <n v="1.17"/>
        <n v="2.52"/>
        <n v="2.96"/>
        <n v="0.86"/>
        <n v="1.29"/>
        <n v="0.25"/>
        <n v="15.21"/>
        <n v="14.84"/>
        <n v="12.62"/>
        <n v="3.9"/>
        <n v="6.86"/>
        <n v="2.41"/>
        <n v="2.97"/>
        <n v="1.86"/>
        <n v="0.74"/>
        <n v="18.12"/>
        <n v="7.5"/>
        <n v="10.029999999999999"/>
        <n v="4.4400000000000004"/>
        <n v="6.05"/>
        <n v="5.8"/>
        <n v="3.94"/>
        <n v="2.99"/>
        <n v="3.73"/>
        <n v="3.03"/>
        <n v="2.9"/>
        <n v="2.82"/>
        <n v="1.62"/>
        <n v="2.16"/>
        <n v="0.66"/>
        <n v="0.91"/>
        <n v="20.41"/>
        <n v="16.399999999999999"/>
        <n v="8.8699999999999992"/>
        <n v="5.58"/>
        <n v="2.81"/>
        <n v="7.05"/>
        <n v="4.6900000000000004"/>
        <n v="4.01"/>
        <n v="2.71"/>
        <n v="2.33"/>
        <n v="4.49"/>
        <n v="3.12"/>
        <n v="1.34"/>
        <n v="1.54"/>
        <n v="0.51"/>
        <n v="1.27"/>
        <n v="17.38"/>
        <n v="17.54"/>
        <n v="9.3800000000000008"/>
        <n v="3.23"/>
        <n v="6.62"/>
        <n v="6.77"/>
        <n v="3.54"/>
        <n v="4.92"/>
        <n v="3.85"/>
        <n v="0.77"/>
        <n v="1.69"/>
        <n v="0"/>
        <n v="13.22"/>
        <n v="14.75"/>
        <n v="12.7"/>
        <n v="7.68"/>
        <n v="4.0999999999999996"/>
        <n v="2.87"/>
        <n v="2.25"/>
        <n v="1.95"/>
        <n v="0.2"/>
        <n v="1.43"/>
        <n v="19.899999999999999"/>
        <n v="5.81"/>
        <n v="15.29"/>
        <n v="8.7200000000000006"/>
        <n v="3.1"/>
        <n v="7.26"/>
        <n v="6.76"/>
        <n v="8.09"/>
        <n v="4.3600000000000003"/>
        <n v="3.66"/>
        <n v="3.28"/>
        <n v="0.44"/>
        <n v="16.059999999999999"/>
        <n v="13.26"/>
        <n v="9.23"/>
        <n v="4.53"/>
        <n v="3.71"/>
        <n v="4.12"/>
        <n v="4.9400000000000004"/>
        <n v="4.37"/>
        <n v="2.14"/>
        <n v="1.4"/>
        <n v="2.31"/>
        <n v="1.1499999999999999"/>
        <n v="1.65"/>
        <n v="23.96"/>
        <n v="15.47"/>
        <n v="6.66"/>
        <n v="6.82"/>
        <n v="2.91"/>
        <n v="4.16"/>
        <n v="1.5"/>
        <n v="0.17"/>
        <n v="18.36"/>
        <n v="16.14"/>
        <n v="6.81"/>
        <n v="7.99"/>
        <n v="5.03"/>
        <n v="1.41"/>
        <n v="1.63"/>
        <n v="1.04"/>
        <n v="0.81"/>
        <n v="0.96"/>
        <n v="11.81"/>
        <n v="11.69"/>
        <n v="9.76"/>
        <n v="6.39"/>
        <n v="4.46"/>
        <n v="3.25"/>
        <n v="3.61"/>
        <n v="3.86"/>
        <n v="2.65"/>
        <n v="3.01"/>
        <n v="3.13"/>
        <n v="1.93"/>
        <n v="16.57"/>
        <n v="16.11"/>
        <n v="9.27"/>
        <n v="5.62"/>
        <n v="2.2799999999999998"/>
        <n v="7.9"/>
        <n v="6.38"/>
        <n v="1.37"/>
        <n v="5.32"/>
        <n v="3.34"/>
        <n v="0.15"/>
        <n v="2.13"/>
        <n v="0.46"/>
        <n v="6.49"/>
        <n v="11.9"/>
        <n v="7.88"/>
        <n v="4.4800000000000004"/>
        <n v="10.199999999999999"/>
        <n v="4.79"/>
        <n v="5.0999999999999996"/>
        <n v="2.94"/>
        <n v="3.55"/>
        <n v="2.63"/>
        <n v="2.4700000000000002"/>
        <n v="1.39"/>
        <n v="2.0099999999999998"/>
        <n v="7.81"/>
        <n v="9.2899999999999991"/>
        <n v="12.14"/>
        <n v="8.8000000000000007"/>
        <n v="9.7899999999999991"/>
        <n v="6.69"/>
        <n v="4.58"/>
        <n v="4.21"/>
        <n v="2.35"/>
        <n v="1.49"/>
        <n v="0.99"/>
        <n v="7.67"/>
        <n v="10.98"/>
        <n v="8.5399999999999991"/>
        <n v="6.97"/>
        <n v="6.27"/>
        <n v="4.7"/>
        <n v="4.18"/>
        <n v="3.14"/>
        <n v="3.31"/>
        <n v="2.2599999999999998"/>
        <n v="2.61"/>
        <n v="1.57"/>
        <n v="7.63"/>
        <n v="12.79"/>
        <n v="10.83"/>
        <n v="9.3000000000000007"/>
        <n v="5.16"/>
        <n v="4.22"/>
        <n v="3.49"/>
        <n v="4.51"/>
        <n v="1.96"/>
        <n v="2.83"/>
        <n v="0.94"/>
        <n v="1.82"/>
        <n v="8.77"/>
        <n v="12.81"/>
        <n v="11.75"/>
        <n v="9.08"/>
        <n v="3.05"/>
        <n v="5.19"/>
        <n v="4.3499999999999996"/>
        <n v="3.51"/>
        <n v="2.21"/>
        <n v="3.2"/>
        <n v="2.06"/>
        <n v="15.74"/>
        <n v="8.4"/>
        <n v="12.44"/>
        <n v="4.95"/>
        <n v="7.35"/>
        <n v="3"/>
        <n v="0.9"/>
        <n v="1.2"/>
        <n v="0.45"/>
        <n v="1.05"/>
        <n v="1.35"/>
        <n v="13.1"/>
        <n v="11.85"/>
        <n v="11.27"/>
        <n v="3.95"/>
        <n v="7.71"/>
        <n v="2.79"/>
        <n v="3.18"/>
        <n v="3.47"/>
        <n v="2.12"/>
        <n v="0.67"/>
        <n v="1.25"/>
        <n v="17.399999999999999"/>
        <n v="7.41"/>
        <n v="10.77"/>
        <n v="6.37"/>
        <n v="7.84"/>
        <n v="7.75"/>
        <n v="5.68"/>
        <n v="4.74"/>
        <n v="2.76"/>
        <n v="2.93"/>
        <n v="16.28"/>
        <n v="11.07"/>
        <n v="5.7"/>
        <n v="6.71"/>
        <n v="4.1900000000000004"/>
        <n v="3.69"/>
        <n v="2.68"/>
        <n v="1.01"/>
        <n v="2.85"/>
        <n v="7.97"/>
        <n v="11.23"/>
        <n v="8.57"/>
        <n v="7.51"/>
        <n v="8.19"/>
        <n v="6.45"/>
        <n v="4.32"/>
        <n v="4.4000000000000004"/>
        <n v="2.73"/>
        <n v="2.58"/>
        <n v="0.76"/>
        <n v="0.08"/>
        <n v="4.93"/>
        <n v="14.79"/>
        <n v="7.04"/>
        <n v="3.52"/>
        <n v="4.2300000000000004"/>
        <n v="0.7"/>
        <n v="21.76"/>
        <n v="8.14"/>
        <n v="8.31"/>
        <n v="9.14"/>
        <n v="4.6500000000000004"/>
        <n v="1.99"/>
        <n v="11.33"/>
        <n v="12.18"/>
        <n v="5.38"/>
        <n v="5.95"/>
        <n v="2.5499999999999998"/>
        <n v="4.25"/>
        <n v="0.28000000000000003"/>
        <n v="1.7"/>
        <n v="20.96"/>
        <n v="18.940000000000001"/>
        <n v="6.06"/>
        <n v="7.83"/>
        <n v="4.55"/>
        <n v="5.3"/>
        <n v="3.79"/>
        <n v="1.52"/>
        <n v="10.68"/>
        <n v="11.11"/>
        <n v="10.26"/>
        <n v="8.5500000000000007"/>
        <n v="6.84"/>
        <n v="0.85"/>
        <n v="3.42"/>
        <n v="2.56"/>
        <n v="13.79"/>
        <n v="7.47"/>
        <n v="7.76"/>
        <n v="10.63"/>
        <n v="4.8899999999999997"/>
        <n v="4.0199999999999996"/>
        <n v="3.16"/>
        <n v="1.44"/>
        <n v="2.59"/>
        <n v="6.33"/>
        <n v="10.33"/>
        <n v="4.67"/>
        <n v="5"/>
        <n v="3.67"/>
        <n v="4.33"/>
        <n v="2"/>
        <n v="14.2"/>
        <n v="11.32"/>
        <n v="5.18"/>
        <n v="3.65"/>
        <n v="3.84"/>
        <n v="5.61"/>
        <n v="9.82"/>
        <n v="7.02"/>
        <n v="4.91"/>
        <n v="7.37"/>
        <n v="1.75"/>
        <n v="0.35"/>
        <n v="14.06"/>
        <n v="10.43"/>
        <n v="6.35"/>
        <n v="8.6199999999999992"/>
        <n v="8.84"/>
        <n v="5.22"/>
        <n v="2.95"/>
        <n v="1.59"/>
        <n v="15.41"/>
        <n v="9.31"/>
        <n v="10.59"/>
        <n v="7.38"/>
        <n v="7.87"/>
        <n v="6.26"/>
        <n v="3.53"/>
        <n v="3.37"/>
        <n v="0.32"/>
        <n v="14.53"/>
        <n v="6.1"/>
        <n v="13.66"/>
        <n v="10.47"/>
        <n v="9.01"/>
        <n v="5.52"/>
        <n v="3.78"/>
        <n v="2.62"/>
        <n v="0.28999999999999998"/>
      </sharedItems>
    </cacheField>
    <cacheField name="総数（法人）" numFmtId="0" sqlType="3">
      <sharedItems containsSemiMixedTypes="0" containsString="0" containsNumber="1" containsInteger="1" minValue="0" maxValue="4600" count="201">
        <n v="1307"/>
        <n v="1837"/>
        <n v="3588"/>
        <n v="4554"/>
        <n v="4600"/>
        <n v="1626"/>
        <n v="1144"/>
        <n v="2060"/>
        <n v="422"/>
        <n v="1894"/>
        <n v="1316"/>
        <n v="2276"/>
        <n v="832"/>
        <n v="1169"/>
        <n v="1705"/>
        <n v="1422"/>
        <n v="867"/>
        <n v="1075"/>
        <n v="776"/>
        <n v="1238"/>
        <n v="568"/>
        <n v="576"/>
        <n v="1744"/>
        <n v="1054"/>
        <n v="615"/>
        <n v="846"/>
        <n v="403"/>
        <n v="373"/>
        <n v="1061"/>
        <n v="180"/>
        <n v="655"/>
        <n v="574"/>
        <n v="361"/>
        <n v="630"/>
        <n v="444"/>
        <n v="445"/>
        <n v="456"/>
        <n v="320"/>
        <n v="465"/>
        <n v="437"/>
        <n v="65"/>
        <n v="106"/>
        <n v="263"/>
        <n v="95"/>
        <n v="83"/>
        <n v="73"/>
        <n v="31"/>
        <n v="57"/>
        <n v="125"/>
        <n v="78"/>
        <n v="60"/>
        <n v="71"/>
        <n v="49"/>
        <n v="42"/>
        <n v="59"/>
        <n v="39"/>
        <n v="56"/>
        <n v="54"/>
        <n v="46"/>
        <n v="40"/>
        <n v="44"/>
        <n v="147"/>
        <n v="75"/>
        <n v="21"/>
        <n v="41"/>
        <n v="92"/>
        <n v="36"/>
        <n v="88"/>
        <n v="33"/>
        <n v="25"/>
        <n v="23"/>
        <n v="35"/>
        <n v="29"/>
        <n v="157"/>
        <n v="47"/>
        <n v="91"/>
        <n v="94"/>
        <n v="10"/>
        <n v="85"/>
        <n v="86"/>
        <n v="20"/>
        <n v="70"/>
        <n v="61"/>
        <n v="30"/>
        <n v="51"/>
        <n v="98"/>
        <n v="74"/>
        <n v="16"/>
        <n v="7"/>
        <n v="52"/>
        <n v="38"/>
        <n v="27"/>
        <n v="15"/>
        <n v="9"/>
        <n v="43"/>
        <n v="48"/>
        <n v="123"/>
        <n v="50"/>
        <n v="82"/>
        <n v="28"/>
        <n v="22"/>
        <n v="12"/>
        <n v="26"/>
        <n v="13"/>
        <n v="84"/>
        <n v="118"/>
        <n v="66"/>
        <n v="55"/>
        <n v="24"/>
        <n v="132"/>
        <n v="121"/>
        <n v="63"/>
        <n v="62"/>
        <n v="34"/>
        <n v="1"/>
        <n v="269"/>
        <n v="190"/>
        <n v="464"/>
        <n v="525"/>
        <n v="411"/>
        <n v="134"/>
        <n v="64"/>
        <n v="176"/>
        <n v="107"/>
        <n v="202"/>
        <n v="191"/>
        <n v="212"/>
        <n v="163"/>
        <n v="103"/>
        <n v="152"/>
        <n v="156"/>
        <n v="89"/>
        <n v="87"/>
        <n v="18"/>
        <n v="120"/>
        <n v="208"/>
        <n v="383"/>
        <n v="362"/>
        <n v="599"/>
        <n v="160"/>
        <n v="114"/>
        <n v="219"/>
        <n v="222"/>
        <n v="144"/>
        <n v="197"/>
        <n v="184"/>
        <n v="167"/>
        <n v="100"/>
        <n v="117"/>
        <n v="96"/>
        <n v="153"/>
        <n v="214"/>
        <n v="136"/>
        <n v="301"/>
        <n v="310"/>
        <n v="141"/>
        <n v="238"/>
        <n v="126"/>
        <n v="109"/>
        <n v="53"/>
        <n v="99"/>
        <n v="151"/>
        <n v="80"/>
        <n v="181"/>
        <n v="45"/>
        <n v="72"/>
        <n v="177"/>
        <n v="470"/>
        <n v="233"/>
        <n v="131"/>
        <n v="101"/>
        <n v="170"/>
        <n v="262"/>
        <n v="124"/>
        <n v="81"/>
        <n v="8"/>
        <n v="14"/>
        <n v="19"/>
        <n v="6"/>
        <n v="2"/>
        <n v="5"/>
        <n v="3"/>
        <n v="182"/>
        <n v="32"/>
        <n v="11"/>
        <n v="164"/>
        <n v="37"/>
        <n v="4"/>
        <n v="0"/>
        <n v="122"/>
        <n v="148"/>
        <n v="200"/>
        <n v="17"/>
        <n v="76"/>
        <n v="234"/>
        <n v="102"/>
        <n v="161"/>
        <n v="79"/>
        <n v="127"/>
        <n v="90"/>
        <n v="58"/>
      </sharedItems>
    </cacheField>
    <cacheField name="構成比（法人）" numFmtId="0" sqlType="3">
      <sharedItems containsSemiMixedTypes="0" containsString="0" containsNumber="1" minValue="0" maxValue="26.58" count="486">
        <n v="2.63"/>
        <n v="3.7"/>
        <n v="7.22"/>
        <n v="9.17"/>
        <n v="9.26"/>
        <n v="3.27"/>
        <n v="2.2999999999999998"/>
        <n v="4.1500000000000004"/>
        <n v="0.85"/>
        <n v="3.81"/>
        <n v="2.65"/>
        <n v="4.58"/>
        <n v="1.67"/>
        <n v="2.35"/>
        <n v="3.43"/>
        <n v="2.86"/>
        <n v="1.75"/>
        <n v="2.16"/>
        <n v="1.56"/>
        <n v="2.4900000000000002"/>
        <n v="3.41"/>
        <n v="3.46"/>
        <n v="10.47"/>
        <n v="6.32"/>
        <n v="3.69"/>
        <n v="5.08"/>
        <n v="2.42"/>
        <n v="2.2400000000000002"/>
        <n v="6.37"/>
        <n v="1.08"/>
        <n v="3.93"/>
        <n v="3.44"/>
        <n v="2.17"/>
        <n v="3.78"/>
        <n v="2.66"/>
        <n v="2.67"/>
        <n v="2.74"/>
        <n v="1.92"/>
        <n v="2.79"/>
        <n v="2.62"/>
        <n v="3.14"/>
        <n v="5.12"/>
        <n v="12.71"/>
        <n v="4.59"/>
        <n v="4.01"/>
        <n v="3.53"/>
        <n v="1.5"/>
        <n v="2.75"/>
        <n v="6.04"/>
        <n v="3.77"/>
        <n v="2.9"/>
        <n v="2.37"/>
        <n v="2.0299999999999998"/>
        <n v="2.85"/>
        <n v="1.88"/>
        <n v="2.71"/>
        <n v="2.61"/>
        <n v="2.2200000000000002"/>
        <n v="3.03"/>
        <n v="3.34"/>
        <n v="11.14"/>
        <n v="5.69"/>
        <n v="4.25"/>
        <n v="1.59"/>
        <n v="3.11"/>
        <n v="6.97"/>
        <n v="2.73"/>
        <n v="6.67"/>
        <n v="5.91"/>
        <n v="2.5"/>
        <n v="4.47"/>
        <n v="1.9"/>
        <n v="1.74"/>
        <n v="3.71"/>
        <n v="2.2000000000000002"/>
        <n v="2.56"/>
        <n v="9.7899999999999991"/>
        <n v="2.93"/>
        <n v="5.68"/>
        <n v="4.43"/>
        <n v="2.06"/>
        <n v="5.86"/>
        <n v="0.62"/>
        <n v="5.3"/>
        <n v="5.36"/>
        <n v="1.25"/>
        <n v="4.37"/>
        <n v="3.68"/>
        <n v="3.06"/>
        <n v="3.56"/>
        <n v="2.1800000000000002"/>
        <n v="1.61"/>
        <n v="4.1100000000000003"/>
        <n v="7.9"/>
        <n v="5.97"/>
        <n v="4.5199999999999996"/>
        <n v="1.29"/>
        <n v="0.56000000000000005"/>
        <n v="4.1900000000000004"/>
        <n v="4.92"/>
        <n v="4.5999999999999996"/>
        <n v="3.31"/>
        <n v="3.95"/>
        <n v="1.21"/>
        <n v="0.73"/>
        <n v="3.47"/>
        <n v="4.66"/>
        <n v="11.93"/>
        <n v="4.8499999999999996"/>
        <n v="5.24"/>
        <n v="7.95"/>
        <n v="2.72"/>
        <n v="0.87"/>
        <n v="4.17"/>
        <n v="4.75"/>
        <n v="2.13"/>
        <n v="2.91"/>
        <n v="1.1599999999999999"/>
        <n v="2.52"/>
        <n v="1.26"/>
        <n v="0.97"/>
        <n v="4.96"/>
        <n v="12.35"/>
        <n v="7.06"/>
        <n v="9.92"/>
        <n v="1.34"/>
        <n v="5.55"/>
        <n v="3.36"/>
        <n v="4.62"/>
        <n v="1.68"/>
        <n v="4.71"/>
        <n v="3.61"/>
        <n v="2.94"/>
        <n v="4.54"/>
        <n v="2.02"/>
        <n v="1.85"/>
        <n v="5.1100000000000003"/>
        <n v="1.86"/>
        <n v="10.220000000000001"/>
        <n v="6.58"/>
        <n v="9.3699999999999992"/>
        <n v="4.57"/>
        <n v="0.77"/>
        <n v="5.73"/>
        <n v="4.88"/>
        <n v="4.8"/>
        <n v="3.02"/>
        <n v="3.87"/>
        <n v="1.55"/>
        <n v="0.08"/>
        <n v="2.0099999999999998"/>
        <n v="1.7"/>
        <n v="5.2"/>
        <n v="3.67"/>
        <n v="8.9700000000000006"/>
        <n v="10.15"/>
        <n v="2.59"/>
        <n v="1.24"/>
        <n v="3.4"/>
        <n v="2.0699999999999998"/>
        <n v="3.9"/>
        <n v="4.0999999999999996"/>
        <n v="3.15"/>
        <n v="3.48"/>
        <n v="2.2799999999999998"/>
        <n v="2.38"/>
        <n v="2.0499999999999998"/>
        <n v="1.99"/>
        <n v="8.69"/>
        <n v="2.97"/>
        <n v="8.92"/>
        <n v="1.72"/>
        <n v="4.8600000000000003"/>
        <n v="1.54"/>
        <n v="3.37"/>
        <n v="5.09"/>
        <n v="4.97"/>
        <n v="0.69"/>
        <n v="4.29"/>
        <n v="1.03"/>
        <n v="3.49"/>
        <n v="2.34"/>
        <n v="2.21"/>
        <n v="3.83"/>
        <n v="7.05"/>
        <n v="11.03"/>
        <n v="2.95"/>
        <n v="2.1"/>
        <n v="4.03"/>
        <n v="5.89"/>
        <n v="4.09"/>
        <n v="0.61"/>
        <n v="3.63"/>
        <n v="3.39"/>
        <n v="0.72"/>
        <n v="3.08"/>
        <n v="1.84"/>
        <n v="2.15"/>
        <n v="2.31"/>
        <n v="11.19"/>
        <n v="5.16"/>
        <n v="3.28"/>
        <n v="7.26"/>
        <n v="7.47"/>
        <n v="5.74"/>
        <n v="1.76"/>
        <n v="2.48"/>
        <n v="3.23"/>
        <n v="1.1100000000000001"/>
        <n v="3.04"/>
        <n v="2.84"/>
        <n v="1.23"/>
        <n v="2.7"/>
        <n v="5.04"/>
        <n v="7.69"/>
        <n v="4.07"/>
        <n v="9.2200000000000006"/>
        <n v="2.29"/>
        <n v="8.3000000000000007"/>
        <n v="1.07"/>
        <n v="4.4800000000000004"/>
        <n v="1.48"/>
        <n v="3.26"/>
        <n v="4.28"/>
        <n v="3.05"/>
        <n v="5.15"/>
        <n v="13.68"/>
        <n v="6.78"/>
        <n v="1.1399999999999999"/>
        <n v="4.95"/>
        <n v="7.63"/>
        <n v="2.77"/>
        <n v="3.32"/>
        <n v="2.04"/>
        <n v="2.36"/>
        <n v="1.83"/>
        <n v="2.5299999999999998"/>
        <n v="10.74"/>
        <n v="9.68"/>
        <n v="4.63"/>
        <n v="8.42"/>
        <n v="4"/>
        <n v="0.42"/>
        <n v="1.89"/>
        <n v="1.05"/>
        <n v="0.63"/>
        <n v="2.11"/>
        <n v="20.54"/>
        <n v="4.4000000000000004"/>
        <n v="5.42"/>
        <n v="6.66"/>
        <n v="6.43"/>
        <n v="1.02"/>
        <n v="3.72"/>
        <n v="1.58"/>
        <n v="1.47"/>
        <n v="1.69"/>
        <n v="4.08"/>
        <n v="11.76"/>
        <n v="11.35"/>
        <n v="1.04"/>
        <n v="6.02"/>
        <n v="3.94"/>
        <n v="1.52"/>
        <n v="1.38"/>
        <n v="2.64"/>
        <n v="1.1299999999999999"/>
        <n v="4.91"/>
        <n v="10.57"/>
        <n v="7.17"/>
        <n v="0.75"/>
        <n v="1.51"/>
        <n v="2.2599999999999998"/>
        <n v="0"/>
        <n v="11.31"/>
        <n v="12.26"/>
        <n v="5.48"/>
        <n v="1.31"/>
        <n v="3.1"/>
        <n v="1.43"/>
        <n v="3.33"/>
        <n v="3.57"/>
        <n v="0.48"/>
        <n v="0.83"/>
        <n v="0.36"/>
        <n v="0.71"/>
        <n v="4.55"/>
        <n v="6.61"/>
        <n v="8.02"/>
        <n v="10.83"/>
        <n v="6.39"/>
        <n v="4.4400000000000004"/>
        <n v="0.54"/>
        <n v="1.19"/>
        <n v="4.0599999999999996"/>
        <n v="0.92"/>
        <n v="0.65"/>
        <n v="2.6"/>
        <n v="12.76"/>
        <n v="12.24"/>
        <n v="5.47"/>
        <n v="3.91"/>
        <n v="0.78"/>
        <n v="1.82"/>
        <n v="0.26"/>
        <n v="14.67"/>
        <n v="9.4600000000000009"/>
        <n v="4.05"/>
        <n v="4.83"/>
        <n v="2.3199999999999998"/>
        <n v="1.93"/>
        <n v="0.19"/>
        <n v="1.35"/>
        <n v="16.25"/>
        <n v="4.51"/>
        <n v="7.08"/>
        <n v="11.18"/>
        <n v="3.89"/>
        <n v="2.92"/>
        <n v="2.08"/>
        <n v="3.96"/>
        <n v="3.82"/>
        <n v="3.54"/>
        <n v="2.4700000000000002"/>
        <n v="9.01"/>
        <n v="7.41"/>
        <n v="11.48"/>
        <n v="5.96"/>
        <n v="3.92"/>
        <n v="0.28999999999999998"/>
        <n v="3.2"/>
        <n v="1.45"/>
        <n v="2.76"/>
        <n v="2.33"/>
        <n v="0.57999999999999996"/>
        <n v="1.37"/>
        <n v="3.5"/>
        <n v="8.07"/>
        <n v="12.94"/>
        <n v="3.35"/>
        <n v="9.59"/>
        <n v="5.33"/>
        <n v="5.94"/>
        <n v="0.76"/>
        <n v="3.65"/>
        <n v="2.44"/>
        <n v="1.98"/>
        <n v="1.22"/>
        <n v="1.95"/>
        <n v="4.38"/>
        <n v="12.37"/>
        <n v="5.84"/>
        <n v="3.99"/>
        <n v="9.83"/>
        <n v="0.68"/>
        <n v="2.4300000000000002"/>
        <n v="2.14"/>
        <n v="2.82"/>
        <n v="6.99"/>
        <n v="1.2"/>
        <n v="9.8800000000000008"/>
        <n v="10.119999999999999"/>
        <n v="5.0599999999999996"/>
        <n v="3.13"/>
        <n v="3.86"/>
        <n v="0.96"/>
        <n v="3.07"/>
        <n v="7.82"/>
        <n v="10.199999999999999"/>
        <n v="12.15"/>
        <n v="1.96"/>
        <n v="3.21"/>
        <n v="2.5099999999999998"/>
        <n v="0.84"/>
        <n v="2.23"/>
        <n v="10.51"/>
        <n v="7.88"/>
        <n v="1.41"/>
        <n v="1.62"/>
        <n v="3.84"/>
        <n v="4.04"/>
        <n v="2.83"/>
        <n v="0.2"/>
        <n v="17.510000000000002"/>
        <n v="11.87"/>
        <n v="0.89"/>
        <n v="0.3"/>
        <n v="14.29"/>
        <n v="16.329999999999998"/>
        <n v="0.82"/>
        <n v="2.4500000000000002"/>
        <n v="0.41"/>
        <n v="1.63"/>
        <n v="14.54"/>
        <n v="10.66"/>
        <n v="1.78"/>
        <n v="4.2"/>
        <n v="3.88"/>
        <n v="4.68"/>
        <n v="0.32"/>
        <n v="0.16"/>
        <n v="12.92"/>
        <n v="0.67"/>
        <n v="13.36"/>
        <n v="5.57"/>
        <n v="6.9"/>
        <n v="0.45"/>
        <n v="3.79"/>
        <n v="15.71"/>
        <n v="4.2300000000000004"/>
        <n v="0.91"/>
        <n v="2.81"/>
        <n v="12.36"/>
        <n v="17.13"/>
        <n v="1.97"/>
        <n v="1.1200000000000001"/>
        <n v="3.09"/>
        <n v="1.4"/>
        <n v="11.82"/>
        <n v="17.260000000000002"/>
        <n v="9.69"/>
        <n v="1.65"/>
        <n v="1.42"/>
        <n v="0.95"/>
        <n v="3.55"/>
        <n v="11.34"/>
        <n v="8.82"/>
        <n v="0.5"/>
        <n v="1.01"/>
        <n v="9.81"/>
        <n v="15.01"/>
        <n v="1.49"/>
        <n v="16.78"/>
        <n v="5.59"/>
        <n v="2.8"/>
        <n v="26.58"/>
        <n v="10.97"/>
        <n v="8.44"/>
        <n v="3.38"/>
        <n v="1.27"/>
        <n v="13.02"/>
        <n v="3.17"/>
        <n v="10.79"/>
        <n v="6.03"/>
        <n v="4.13"/>
        <n v="2.54"/>
        <n v="1.32"/>
        <n v="4.82"/>
        <n v="7.02"/>
        <n v="14.47"/>
        <n v="0.44"/>
        <n v="5.26"/>
        <n v="2.19"/>
        <n v="0.88"/>
        <n v="23.26"/>
        <n v="6.98"/>
        <n v="4.6500000000000004"/>
        <n v="9.3000000000000007"/>
        <n v="11.11"/>
        <n v="14.49"/>
        <n v="6.28"/>
        <n v="4.3499999999999996"/>
        <n v="20"/>
        <n v="4.21"/>
        <n v="7.37"/>
        <n v="3.16"/>
        <n v="15.42"/>
        <n v="7.92"/>
        <n v="5"/>
        <n v="23.13"/>
        <n v="7.46"/>
        <n v="2.99"/>
        <n v="3.73"/>
        <n v="24.67"/>
        <n v="11.33"/>
        <n v="4.67"/>
        <n v="2"/>
        <n v="1.33"/>
        <n v="10.49"/>
        <n v="19.75"/>
        <n v="26.55"/>
        <n v="1.77"/>
        <n v="9.73"/>
        <n v="6.19"/>
        <n v="5.31"/>
        <n v="4.42"/>
      </sharedItems>
    </cacheField>
    <cacheField name="総数（法人以外の団体）" numFmtId="0" sqlType="3">
      <sharedItems containsSemiMixedTypes="0" containsString="0" containsNumber="1" containsInteger="1" minValue="0" maxValue="36" count="13">
        <n v="12"/>
        <n v="0"/>
        <n v="9"/>
        <n v="22"/>
        <n v="1"/>
        <n v="20"/>
        <n v="36"/>
        <n v="3"/>
        <n v="2"/>
        <n v="7"/>
        <n v="4"/>
        <n v="15"/>
        <n v="5"/>
      </sharedItems>
    </cacheField>
    <cacheField name="構成比（法人以外の団体）" numFmtId="0" sqlType="3">
      <sharedItems containsString="0" containsBlank="1" containsNumber="1" minValue="0" maxValue="100" count="41">
        <n v="4.74"/>
        <n v="0"/>
        <n v="3.56"/>
        <n v="8.6999999999999993"/>
        <n v="0.4"/>
        <n v="7.91"/>
        <n v="14.23"/>
        <n v="1.19"/>
        <n v="0.79"/>
        <n v="2.77"/>
        <n v="1.58"/>
        <n v="13.24"/>
        <n v="2.94"/>
        <n v="22.06"/>
        <n v="1.47"/>
        <n v="7.14"/>
        <n v="35.71"/>
        <n v="14.29"/>
        <n v="100"/>
        <n v="16.670000000000002"/>
        <n v="33.33"/>
        <n v="25"/>
        <n v="20"/>
        <n v="60"/>
        <n v="8"/>
        <n v="16"/>
        <n v="4"/>
        <n v="12"/>
        <n v="4.76"/>
        <n v="19.05"/>
        <n v="10"/>
        <n v="12.5"/>
        <n v="8.33"/>
        <n v="50"/>
        <n v="11.76"/>
        <n v="5.88"/>
        <n v="17.649999999999999"/>
        <n v="66.67"/>
        <m/>
        <n v="22.22"/>
        <n v="11.1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成者" refreshedDate="43292.912002199075" createdVersion="5" refreshedVersion="5" minRefreshableVersion="3" recordCount="1053">
  <cacheSource type="external" connectionId="3"/>
  <cacheFields count="19">
    <cacheField name="ti" numFmtId="0" sqlType="-8">
      <sharedItems count="51">
        <s v="ti.28000"/>
        <s v="ti.28100"/>
        <s v="ti.28101"/>
        <s v="ti.28102"/>
        <s v="ti.28105"/>
        <s v="ti.28106"/>
        <s v="ti.28107"/>
        <s v="ti.28108"/>
        <s v="ti.28109"/>
        <s v="ti.28110"/>
        <s v="ti.28111"/>
        <s v="ti.28201"/>
        <s v="ti.28202"/>
        <s v="ti.28203"/>
        <s v="ti.28204"/>
        <s v="ti.28205"/>
        <s v="ti.28206"/>
        <s v="ti.28207"/>
        <s v="ti.28208"/>
        <s v="ti.28209"/>
        <s v="ti.28210"/>
        <s v="ti.28212"/>
        <s v="ti.28213"/>
        <s v="ti.28214"/>
        <s v="ti.28215"/>
        <s v="ti.28216"/>
        <s v="ti.28217"/>
        <s v="ti.28218"/>
        <s v="ti.28219"/>
        <s v="ti.28220"/>
        <s v="ti.28221"/>
        <s v="ti.28222"/>
        <s v="ti.28223"/>
        <s v="ti.28224"/>
        <s v="ti.28225"/>
        <s v="ti.28226"/>
        <s v="ti.28227"/>
        <s v="ti.28228"/>
        <s v="ti.28229"/>
        <s v="ti.28301"/>
        <s v="ti.28365"/>
        <s v="ti.28381"/>
        <s v="ti.28382"/>
        <s v="ti.28442"/>
        <s v="ti.28443"/>
        <s v="ti.28446"/>
        <s v="ti.28464"/>
        <s v="ti.28481"/>
        <s v="ti.28501"/>
        <s v="ti.28585"/>
        <s v="ti.28586"/>
      </sharedItems>
    </cacheField>
    <cacheField name="kencd" numFmtId="0" sqlType="-9">
      <sharedItems count="1">
        <s v="28"/>
      </sharedItems>
    </cacheField>
    <cacheField name="都道府県" numFmtId="0" sqlType="-9">
      <sharedItems count="1">
        <s v="28 兵庫県"/>
      </sharedItems>
    </cacheField>
    <cacheField name="ti_level" numFmtId="0" sqlType="-8">
      <sharedItems count="5">
        <s v="1"/>
        <s v="2"/>
        <s v="3"/>
        <s v="4"/>
        <s v="6"/>
      </sharedItems>
    </cacheField>
    <cacheField name="自治体名" numFmtId="0" sqlType="-9">
      <sharedItems count="51">
        <s v="兵庫県"/>
        <s v="神戸市"/>
        <s v="神戸市東灘区"/>
        <s v="神戸市灘区"/>
        <s v="神戸市兵庫区"/>
        <s v="神戸市長田区"/>
        <s v="神戸市須磨区"/>
        <s v="神戸市垂水区"/>
        <s v="神戸市北区"/>
        <s v="神戸市中央区"/>
        <s v="神戸市西区"/>
        <s v="姫路市"/>
        <s v="尼崎市"/>
        <s v="明石市"/>
        <s v="西宮市"/>
        <s v="洲本市"/>
        <s v="芦屋市"/>
        <s v="伊丹市"/>
        <s v="相生市"/>
        <s v="豊岡市"/>
        <s v="加古川市"/>
        <s v="赤穂市"/>
        <s v="西脇市"/>
        <s v="宝塚市"/>
        <s v="三木市"/>
        <s v="高砂市"/>
        <s v="川西市"/>
        <s v="小野市"/>
        <s v="三田市"/>
        <s v="加西市"/>
        <s v="篠山市"/>
        <s v="養父市"/>
        <s v="丹波市"/>
        <s v="南あわじ市"/>
        <s v="朝来市"/>
        <s v="淡路市"/>
        <s v="宍粟市"/>
        <s v="加東市"/>
        <s v="たつの市"/>
        <s v="川辺郡猪名川町"/>
        <s v="多可郡多可町"/>
        <s v="加古郡稲美町"/>
        <s v="加古郡播磨町"/>
        <s v="神崎郡市川町"/>
        <s v="神崎郡福崎町"/>
        <s v="神崎郡神河町"/>
        <s v="揖保郡太子町"/>
        <s v="赤穂郡上郡町"/>
        <s v="佐用郡佐用町"/>
        <s v="美方郡香美町"/>
        <s v="美方郡新温泉町"/>
      </sharedItems>
    </cacheField>
    <cacheField name="自治体" numFmtId="0" sqlType="-9">
      <sharedItems count="51">
        <s v="28000 兵庫県"/>
        <s v="28100 神戸市"/>
        <s v="28101 神戸市東灘区"/>
        <s v="28102 神戸市灘区"/>
        <s v="28105 神戸市兵庫区"/>
        <s v="28106 神戸市長田区"/>
        <s v="28107 神戸市須磨区"/>
        <s v="28108 神戸市垂水区"/>
        <s v="28109 神戸市北区"/>
        <s v="28110 神戸市中央区"/>
        <s v="28111 神戸市西区"/>
        <s v="28201 姫路市"/>
        <s v="28202 尼崎市"/>
        <s v="28203 明石市"/>
        <s v="28204 西宮市"/>
        <s v="28205 洲本市"/>
        <s v="28206 芦屋市"/>
        <s v="28207 伊丹市"/>
        <s v="28208 相生市"/>
        <s v="28209 豊岡市"/>
        <s v="28210 加古川市"/>
        <s v="28212 赤穂市"/>
        <s v="28213 西脇市"/>
        <s v="28214 宝塚市"/>
        <s v="28215 三木市"/>
        <s v="28216 高砂市"/>
        <s v="28217 川西市"/>
        <s v="28218 小野市"/>
        <s v="28219 三田市"/>
        <s v="28220 加西市"/>
        <s v="28221 篠山市"/>
        <s v="28222 養父市"/>
        <s v="28223 丹波市"/>
        <s v="28224 南あわじ市"/>
        <s v="28225 朝来市"/>
        <s v="28226 淡路市"/>
        <s v="28227 宍粟市"/>
        <s v="28228 加東市"/>
        <s v="28229 たつの市"/>
        <s v="28301 川辺郡猪名川町"/>
        <s v="28365 多可郡多可町"/>
        <s v="28381 加古郡稲美町"/>
        <s v="28382 加古郡播磨町"/>
        <s v="28442 神崎郡市川町"/>
        <s v="28443 神崎郡福崎町"/>
        <s v="28446 神崎郡神河町"/>
        <s v="28464 揖保郡太子町"/>
        <s v="28481 赤穂郡上郡町"/>
        <s v="28501 佐用郡佐用町"/>
        <s v="28585 美方郡香美町"/>
        <s v="28586 美方郡新温泉町"/>
      </sharedItems>
    </cacheField>
    <cacheField name="san" numFmtId="0" sqlType="-8">
      <sharedItems count="87">
        <s v="sanC1.0582"/>
        <s v="sanC1.0490"/>
        <s v="sanC1.0566"/>
        <s v="sanC1.0565"/>
        <s v="sanC1.0440"/>
        <s v="sanC1.0646"/>
        <s v="sanC1.0581"/>
        <s v="sanC1.0557"/>
        <s v="sanC1.0564"/>
        <s v="sanC1.0664"/>
        <s v="sanC1.0039"/>
        <s v="sanC1.0408"/>
        <s v="sanC1.0419"/>
        <s v="sanC1.0424"/>
        <s v="sanC1.0578"/>
        <s v="sanC1.0486"/>
        <s v="sanC1.0645"/>
        <s v="sanC1.0041"/>
        <s v="sanC1.0431"/>
        <s v="sanC1.0057"/>
        <s v="sanC1.0492"/>
        <s v="sanC1.0567"/>
        <s v="sanC1.0489"/>
        <s v="sanC1.0491"/>
        <s v="sanC1.0410"/>
        <s v="sanC1.0418"/>
        <s v="sanC1.0534"/>
        <s v="sanC1.0660"/>
        <s v="sanC1.0043"/>
        <s v="sanC1.0417"/>
        <s v="sanC1.0115"/>
        <s v="sanC1.0146"/>
        <s v="sanC1.0154"/>
        <s v="sanC1.0211"/>
        <s v="sanC1.0426"/>
        <s v="sanC1.0059"/>
        <s v="sanC1.0321"/>
        <s v="sanC1.0511"/>
        <s v="sanC1.0516"/>
        <s v="sanC1.0396"/>
        <s v="sanC1.0585"/>
        <s v="sanC1.0722"/>
        <s v="sanC1.0042"/>
        <s v="sanC1.0052"/>
        <s v="sanC1.0547"/>
        <s v="sanC1.0156"/>
        <s v="sanC1.0556"/>
        <s v="sanC1.0433"/>
        <s v="sanC1.0085"/>
        <s v="sanC1.0092"/>
        <s v="sanC1.0088"/>
        <s v="sanC1.0259"/>
        <s v="sanC1.0190"/>
        <s v="sanC1.0262"/>
        <s v="sanC1.0430"/>
        <s v="sanC1.0514"/>
        <s v="sanC1.0193"/>
        <s v="sanC1.0247"/>
        <s v="sanC1.0192"/>
        <s v="sanC1.0046"/>
        <s v="sanC1.0202"/>
        <s v="sanC1.0213"/>
        <s v="sanC1.0139"/>
        <s v="sanC1.0165"/>
        <s v="sanC1.0050"/>
        <s v="sanC1.0054"/>
        <s v="sanC1.0095"/>
        <s v="sanC1.0164"/>
        <s v="sanC1.0370"/>
        <s v="sanC1.0073"/>
        <s v="sanC1.0379"/>
        <s v="sanC1.0429"/>
        <s v="sanC1.0066"/>
        <s v="sanC1.0265"/>
        <s v="sanC1.0416"/>
        <s v="sanC1.0406"/>
        <s v="sanC1.0151"/>
        <s v="sanC1.0522"/>
        <s v="sanC1.0479"/>
        <s v="sanC1.0596"/>
        <s v="sanC1.0087"/>
        <s v="sanC1.0084"/>
        <s v="sanC1.0590"/>
        <s v="sanC1.0177"/>
        <s v="sanC1.0140"/>
        <s v="sanC1.0142"/>
        <s v="sanC1.0447"/>
      </sharedItems>
    </cacheField>
    <cacheField name="産業分類コード" numFmtId="0" sqlType="-9">
      <sharedItems count="87">
        <s v="783"/>
        <s v="692"/>
        <s v="767"/>
        <s v="766"/>
        <s v="609"/>
        <s v="824"/>
        <s v="782"/>
        <s v="762"/>
        <s v="765"/>
        <s v="835"/>
        <s v="062"/>
        <s v="573"/>
        <s v="589"/>
        <s v="591"/>
        <s v="781"/>
        <s v="682"/>
        <s v="823"/>
        <s v="064"/>
        <s v="603"/>
        <s v="081"/>
        <s v="694"/>
        <s v="769"/>
        <s v="691"/>
        <s v="693"/>
        <s v="579"/>
        <s v="586"/>
        <s v="742"/>
        <s v="833"/>
        <s v="066"/>
        <s v="585"/>
        <s v="151"/>
        <s v="192"/>
        <s v="204"/>
        <s v="266"/>
        <s v="593"/>
        <s v="083"/>
        <s v="432"/>
        <s v="721"/>
        <s v="724"/>
        <s v="559"/>
        <s v="789"/>
        <s v="891"/>
        <s v="065"/>
        <s v="077"/>
        <s v="751"/>
        <s v="206"/>
        <s v="761"/>
        <s v="605"/>
        <s v="112"/>
        <s v="119"/>
        <s v="115"/>
        <s v="325"/>
        <s v="242"/>
        <s v="326"/>
        <s v="602"/>
        <s v="722"/>
        <s v="245"/>
        <s v="311"/>
        <s v="244"/>
        <s v="071"/>
        <s v="253"/>
        <s v="269"/>
        <s v="183"/>
        <s v="214"/>
        <s v="075"/>
        <s v="079"/>
        <s v="121"/>
        <s v="213"/>
        <s v="521"/>
        <s v="099"/>
        <s v="531"/>
        <s v="601"/>
        <s v="092"/>
        <s v="329"/>
        <s v="584"/>
        <s v="571"/>
        <s v="201"/>
        <s v="728"/>
        <s v="674"/>
        <s v="799"/>
        <s v="114"/>
        <s v="111"/>
        <s v="794"/>
        <s v="225"/>
        <s v="184"/>
        <s v="189"/>
        <s v="611"/>
      </sharedItems>
    </cacheField>
    <cacheField name="産業分類" numFmtId="0" sqlType="-9">
      <sharedItems count="87">
        <s v="美容業"/>
        <s v="貸家業，貸間業"/>
        <s v="喫茶店"/>
        <s v="バー，キャバレー，ナイトクラブ"/>
        <s v="他に分類されない小売業"/>
        <s v="教養・技能教授業"/>
        <s v="理容業"/>
        <s v="専門料理店"/>
        <s v="酒場，ビヤホール"/>
        <s v="療術業"/>
        <s v="土木工事業（舗装工事業を除く）"/>
        <s v="婦人・子供服小売業"/>
        <s v="その他の飲食料品小売業"/>
        <s v="自動車小売業"/>
        <s v="洗濯業"/>
        <s v="不動産代理業・仲介業"/>
        <s v="学習塾"/>
        <s v="建築工事業（木造建築工事業を除く）"/>
        <s v="医薬品・化粧品小売業"/>
        <s v="電気工事業"/>
        <s v="不動産管理業"/>
        <s v="その他の飲食店"/>
        <s v="不動産賃貸業（貸家業，貸間業を除く）"/>
        <s v="駐車場業"/>
        <s v="その他の織物・衣服・身の回り品小売業"/>
        <s v="菓子・パン小売業"/>
        <s v="土木建築サービス業"/>
        <s v="歯科診療所"/>
        <s v="建築リフォーム工事業"/>
        <s v="酒小売業"/>
        <s v="印刷業"/>
        <s v="ゴム製・プラスチック製履物・同附属品製造業"/>
        <s v="革製履物製造業"/>
        <s v="金属加工機械製造業"/>
        <s v="機械器具小売業（自動車，自転車を除く）"/>
        <s v="管工事業（さく井工事業を除く）"/>
        <s v="一般乗用旅客自動車運送業"/>
        <s v="法律事務所，特許事務所"/>
        <s v="公認会計士事務所，税理士事務所"/>
        <s v="他に分類されない卸売業"/>
        <s v="その他の洗濯・理容・美容・浴場業"/>
        <s v="自動車整備業"/>
        <s v="木造建築工事業"/>
        <s v="塗装工事業"/>
        <s v="旅館，ホテル"/>
        <s v="かばん製造業"/>
        <s v="食堂，レストラン（専門料理店を除く）"/>
        <s v="燃料小売業"/>
        <s v="織物業"/>
        <s v="その他の繊維製品製造業"/>
        <s v="綱・網・レース・繊維粗製品製造業"/>
        <s v="がん具・運動用具製造業"/>
        <s v="洋食器・刃物・手道具・金物類製造業"/>
        <s v="ペン・鉛筆・絵画用品・その他の事務用品製造業"/>
        <s v="じゅう器小売業"/>
        <s v="公証人役場，司法書士事務所，土地家屋調査士事務所"/>
        <s v="金属素形材製品製造業"/>
        <s v="自動車・同附属品製造業"/>
        <s v="建設用・建築用金属製品製造業（製缶板金業を含む）"/>
        <s v="大工工事業"/>
        <s v="一般産業用機械・装置製造業"/>
        <s v="その他の生産用機械・同部分品製造業"/>
        <s v="工業用プラスチック製品製造業"/>
        <s v="陶磁器・同関連製品製造業"/>
        <s v="左官工事業"/>
        <s v="その他の職別工事業"/>
        <s v="製材業，木製品製造業"/>
        <s v="建設用粘土製品製造業（陶磁器製を除く）"/>
        <s v="農畜産物・水産物卸売業"/>
        <s v="その他の食料品製造業"/>
        <s v="建築材料卸売業"/>
        <s v="家具・建具・畳小売業"/>
        <s v="水産食料品製造業"/>
        <s v="他に分類されない製造業"/>
        <s v="鮮魚小売業"/>
        <s v="呉服・服地・寝具小売業"/>
        <s v="なめし革製造業"/>
        <s v="経営コンサルタント業，純粋持株会社"/>
        <s v="保険媒介代理業"/>
        <s v="他に分類されない生活関連サービス業"/>
        <s v="染色整理業"/>
        <s v="製糸業，紡績業，化学繊維・ねん糸等製造業"/>
        <s v="物品預り業"/>
        <s v="鉄素形材製造業"/>
        <s v="発泡・強化プラスチック製品製造業"/>
        <s v="その他のプラスチック製品製造業"/>
        <s v="通信販売・訪問販売小売業"/>
      </sharedItems>
    </cacheField>
    <cacheField name="産業小分類" numFmtId="0" sqlType="-9">
      <sharedItems count="87">
        <s v="783 美容業"/>
        <s v="692 貸家業，貸間業"/>
        <s v="767 喫茶店"/>
        <s v="766 バー，キャバレー，ナイトクラブ"/>
        <s v="609 他に分類されない小売業"/>
        <s v="824 教養・技能教授業"/>
        <s v="782 理容業"/>
        <s v="762 専門料理店"/>
        <s v="765 酒場，ビヤホール"/>
        <s v="835 療術業"/>
        <s v="062 土木工事業（舗装工事業を除く）"/>
        <s v="573 婦人・子供服小売業"/>
        <s v="589 その他の飲食料品小売業"/>
        <s v="591 自動車小売業"/>
        <s v="781 洗濯業"/>
        <s v="682 不動産代理業・仲介業"/>
        <s v="823 学習塾"/>
        <s v="064 建築工事業（木造建築工事業を除く）"/>
        <s v="603 医薬品・化粧品小売業"/>
        <s v="081 電気工事業"/>
        <s v="694 不動産管理業"/>
        <s v="769 その他の飲食店"/>
        <s v="691 不動産賃貸業（貸家業，貸間業を除く）"/>
        <s v="693 駐車場業"/>
        <s v="579 その他の織物・衣服・身の回り品小売業"/>
        <s v="586 菓子・パン小売業"/>
        <s v="742 土木建築サービス業"/>
        <s v="833 歯科診療所"/>
        <s v="066 建築リフォーム工事業"/>
        <s v="585 酒小売業"/>
        <s v="151 印刷業"/>
        <s v="192 ゴム製・プラスチック製履物・同附属品製造業"/>
        <s v="204 革製履物製造業"/>
        <s v="266 金属加工機械製造業"/>
        <s v="593 機械器具小売業（自動車，自転車を除く）"/>
        <s v="083 管工事業（さく井工事業を除く）"/>
        <s v="432 一般乗用旅客自動車運送業"/>
        <s v="721 法律事務所，特許事務所"/>
        <s v="724 公認会計士事務所，税理士事務所"/>
        <s v="559 他に分類されない卸売業"/>
        <s v="789 その他の洗濯・理容・美容・浴場業"/>
        <s v="891 自動車整備業"/>
        <s v="065 木造建築工事業"/>
        <s v="077 塗装工事業"/>
        <s v="751 旅館，ホテル"/>
        <s v="206 かばん製造業"/>
        <s v="761 食堂，レストラン（専門料理店を除く）"/>
        <s v="605 燃料小売業"/>
        <s v="112 織物業"/>
        <s v="119 その他の繊維製品製造業"/>
        <s v="115 綱・網・レース・繊維粗製品製造業"/>
        <s v="325 がん具・運動用具製造業"/>
        <s v="242 洋食器・刃物・手道具・金物類製造業"/>
        <s v="326 ペン・鉛筆・絵画用品・その他の事務用品製造業"/>
        <s v="602 じゅう器小売業"/>
        <s v="722 公証人役場，司法書士事務所，土地家屋調査士事務所"/>
        <s v="245 金属素形材製品製造業"/>
        <s v="311 自動車・同附属品製造業"/>
        <s v="244 建設用・建築用金属製品製造業（製缶板金業を含む）"/>
        <s v="071 大工工事業"/>
        <s v="253 一般産業用機械・装置製造業"/>
        <s v="269 その他の生産用機械・同部分品製造業"/>
        <s v="183 工業用プラスチック製品製造業"/>
        <s v="214 陶磁器・同関連製品製造業"/>
        <s v="075 左官工事業"/>
        <s v="079 その他の職別工事業"/>
        <s v="121 製材業，木製品製造業"/>
        <s v="213 建設用粘土製品製造業（陶磁器製を除く）"/>
        <s v="521 農畜産物・水産物卸売業"/>
        <s v="099 その他の食料品製造業"/>
        <s v="531 建築材料卸売業"/>
        <s v="601 家具・建具・畳小売業"/>
        <s v="092 水産食料品製造業"/>
        <s v="329 他に分類されない製造業"/>
        <s v="584 鮮魚小売業"/>
        <s v="571 呉服・服地・寝具小売業"/>
        <s v="201 なめし革製造業"/>
        <s v="728 経営コンサルタント業，純粋持株会社"/>
        <s v="674 保険媒介代理業"/>
        <s v="799 他に分類されない生活関連サービス業"/>
        <s v="114 染色整理業"/>
        <s v="111 製糸業，紡績業，化学繊維・ねん糸等製造業"/>
        <s v="794 物品預り業"/>
        <s v="225 鉄素形材製造業"/>
        <s v="184 発泡・強化プラスチック製品製造業"/>
        <s v="189 その他のプラスチック製品製造業"/>
        <s v="611 通信販売・訪問販売小売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4" maxValue="5935" count="244">
        <n v="5935"/>
        <n v="4246"/>
        <n v="4038"/>
        <n v="3477"/>
        <n v="3443"/>
        <n v="3199"/>
        <n v="3157"/>
        <n v="3156"/>
        <n v="3017"/>
        <n v="2858"/>
        <n v="2368"/>
        <n v="2164"/>
        <n v="2069"/>
        <n v="1950"/>
        <n v="1857"/>
        <n v="1643"/>
        <n v="1616"/>
        <n v="1608"/>
        <n v="1606"/>
        <n v="1593"/>
        <n v="1482"/>
        <n v="1395"/>
        <n v="1316"/>
        <n v="1251"/>
        <n v="1125"/>
        <n v="1016"/>
        <n v="930"/>
        <n v="886"/>
        <n v="752"/>
        <n v="748"/>
        <n v="689"/>
        <n v="597"/>
        <n v="557"/>
        <n v="546"/>
        <n v="540"/>
        <n v="504"/>
        <n v="460"/>
        <n v="456"/>
        <n v="435"/>
        <n v="213"/>
        <n v="160"/>
        <n v="146"/>
        <n v="130"/>
        <n v="114"/>
        <n v="106"/>
        <n v="105"/>
        <n v="102"/>
        <n v="99"/>
        <n v="89"/>
        <n v="78"/>
        <n v="77"/>
        <n v="65"/>
        <n v="64"/>
        <n v="62"/>
        <n v="56"/>
        <n v="54"/>
        <n v="53"/>
        <n v="52"/>
        <n v="167"/>
        <n v="154"/>
        <n v="132"/>
        <n v="117"/>
        <n v="108"/>
        <n v="100"/>
        <n v="92"/>
        <n v="90"/>
        <n v="83"/>
        <n v="79"/>
        <n v="76"/>
        <n v="57"/>
        <n v="51"/>
        <n v="50"/>
        <n v="47"/>
        <n v="46"/>
        <n v="42"/>
        <n v="214"/>
        <n v="198"/>
        <n v="186"/>
        <n v="143"/>
        <n v="142"/>
        <n v="123"/>
        <n v="115"/>
        <n v="107"/>
        <n v="98"/>
        <n v="96"/>
        <n v="70"/>
        <n v="59"/>
        <n v="199"/>
        <n v="196"/>
        <n v="119"/>
        <n v="113"/>
        <n v="97"/>
        <n v="86"/>
        <n v="85"/>
        <n v="73"/>
        <n v="71"/>
        <n v="67"/>
        <n v="61"/>
        <n v="48"/>
        <n v="45"/>
        <n v="44"/>
        <n v="112"/>
        <n v="104"/>
        <n v="72"/>
        <n v="63"/>
        <n v="60"/>
        <n v="55"/>
        <n v="39"/>
        <n v="38"/>
        <n v="37"/>
        <n v="36"/>
        <n v="35"/>
        <n v="34"/>
        <n v="32"/>
        <n v="31"/>
        <n v="184"/>
        <n v="139"/>
        <n v="133"/>
        <n v="75"/>
        <n v="69"/>
        <n v="66"/>
        <n v="43"/>
        <n v="157"/>
        <n v="131"/>
        <n v="41"/>
        <n v="1220"/>
        <n v="542"/>
        <n v="398"/>
        <n v="343"/>
        <n v="341"/>
        <n v="339"/>
        <n v="299"/>
        <n v="239"/>
        <n v="235"/>
        <n v="212"/>
        <n v="192"/>
        <n v="187"/>
        <n v="174"/>
        <n v="171"/>
        <n v="161"/>
        <n v="145"/>
        <n v="140"/>
        <n v="149"/>
        <n v="74"/>
        <n v="68"/>
        <n v="49"/>
        <n v="697"/>
        <n v="474"/>
        <n v="443"/>
        <n v="423"/>
        <n v="364"/>
        <n v="351"/>
        <n v="342"/>
        <n v="303"/>
        <n v="289"/>
        <n v="257"/>
        <n v="227"/>
        <n v="217"/>
        <n v="210"/>
        <n v="208"/>
        <n v="200"/>
        <n v="197"/>
        <n v="188"/>
        <n v="173"/>
        <n v="492"/>
        <n v="411"/>
        <n v="410"/>
        <n v="376"/>
        <n v="292"/>
        <n v="277"/>
        <n v="275"/>
        <n v="270"/>
        <n v="259"/>
        <n v="229"/>
        <n v="204"/>
        <n v="179"/>
        <n v="170"/>
        <n v="158"/>
        <n v="138"/>
        <n v="298"/>
        <n v="165"/>
        <n v="159"/>
        <n v="110"/>
        <n v="95"/>
        <n v="87"/>
        <n v="84"/>
        <n v="82"/>
        <n v="467"/>
        <n v="465"/>
        <n v="311"/>
        <n v="274"/>
        <n v="255"/>
        <n v="243"/>
        <n v="232"/>
        <n v="193"/>
        <n v="190"/>
        <n v="182"/>
        <n v="163"/>
        <n v="91"/>
        <n v="40"/>
        <n v="30"/>
        <n v="29"/>
        <n v="28"/>
        <n v="27"/>
        <n v="25"/>
        <n v="24"/>
        <n v="94"/>
        <n v="81"/>
        <n v="33"/>
        <n v="101"/>
        <n v="80"/>
        <n v="22"/>
        <n v="19"/>
        <n v="18"/>
        <n v="16"/>
        <n v="13"/>
        <n v="12"/>
        <n v="11"/>
        <n v="10"/>
        <n v="141"/>
        <n v="135"/>
        <n v="58"/>
        <n v="297"/>
        <n v="172"/>
        <n v="118"/>
        <n v="103"/>
        <n v="23"/>
        <n v="21"/>
        <n v="20"/>
        <n v="17"/>
        <n v="26"/>
        <n v="168"/>
        <n v="93"/>
        <n v="126"/>
        <n v="15"/>
        <n v="14"/>
        <n v="240"/>
        <n v="88"/>
        <n v="9"/>
        <n v="8"/>
        <n v="7"/>
        <n v="6"/>
        <n v="5"/>
        <n v="4"/>
      </sharedItems>
    </cacheField>
    <cacheField name="構成比" numFmtId="0" sqlType="3">
      <sharedItems containsSemiMixedTypes="0" containsString="0" containsNumber="1" minValue="1.1399999999999999" maxValue="15.15" count="327">
        <n v="4.8"/>
        <n v="3.43"/>
        <n v="3.26"/>
        <n v="2.81"/>
        <n v="2.78"/>
        <n v="2.59"/>
        <n v="2.5499999999999998"/>
        <n v="2.44"/>
        <n v="2.31"/>
        <n v="1.91"/>
        <n v="1.75"/>
        <n v="1.67"/>
        <n v="1.58"/>
        <n v="1.5"/>
        <n v="1.33"/>
        <n v="1.31"/>
        <n v="1.3"/>
        <n v="1.29"/>
        <n v="4.4000000000000004"/>
        <n v="3.97"/>
        <n v="3.73"/>
        <n v="3.52"/>
        <n v="3.35"/>
        <n v="3.01"/>
        <n v="2.72"/>
        <n v="2.4900000000000002"/>
        <n v="2.37"/>
        <n v="2.0099999999999998"/>
        <n v="2"/>
        <n v="1.84"/>
        <n v="1.6"/>
        <n v="1.49"/>
        <n v="1.46"/>
        <n v="1.45"/>
        <n v="1.35"/>
        <n v="1.23"/>
        <n v="1.22"/>
        <n v="1.1599999999999999"/>
        <n v="5.39"/>
        <n v="4.05"/>
        <n v="3.69"/>
        <n v="3.29"/>
        <n v="2.88"/>
        <n v="2.68"/>
        <n v="2.66"/>
        <n v="2.58"/>
        <n v="2.5099999999999998"/>
        <n v="2.25"/>
        <n v="1.97"/>
        <n v="1.95"/>
        <n v="1.64"/>
        <n v="1.62"/>
        <n v="1.57"/>
        <n v="1.42"/>
        <n v="1.37"/>
        <n v="1.34"/>
        <n v="1.32"/>
        <n v="5.15"/>
        <n v="4.75"/>
        <n v="4.07"/>
        <n v="3.61"/>
        <n v="3.33"/>
        <n v="3.27"/>
        <n v="3.08"/>
        <n v="2.84"/>
        <n v="2.77"/>
        <n v="2.56"/>
        <n v="2.4300000000000002"/>
        <n v="2.34"/>
        <n v="1.76"/>
        <n v="1.63"/>
        <n v="1.54"/>
        <n v="4.9800000000000004"/>
        <n v="4.6100000000000003"/>
        <n v="4.33"/>
        <n v="3.31"/>
        <n v="2.86"/>
        <n v="2.2799999999999998"/>
        <n v="2.23"/>
        <n v="2.0699999999999998"/>
        <n v="1.93"/>
        <n v="1.79"/>
        <n v="1.26"/>
        <n v="1.21"/>
        <n v="1.19"/>
        <n v="5.37"/>
        <n v="5.29"/>
        <n v="3.21"/>
        <n v="3.05"/>
        <n v="2.67"/>
        <n v="2.62"/>
        <n v="2.3199999999999998"/>
        <n v="2.29"/>
        <n v="2.0499999999999998"/>
        <n v="1.92"/>
        <n v="1.81"/>
        <n v="1.73"/>
        <n v="1.65"/>
        <n v="1.27"/>
        <n v="4.6900000000000004"/>
        <n v="4.3600000000000003"/>
        <n v="4.0999999999999996"/>
        <n v="3.02"/>
        <n v="2.64"/>
        <n v="2.6"/>
        <n v="2.4700000000000002"/>
        <n v="2.2999999999999998"/>
        <n v="2.2599999999999998"/>
        <n v="2.14"/>
        <n v="1.59"/>
        <n v="1.55"/>
        <n v="1.51"/>
        <n v="1.47"/>
        <n v="6.21"/>
        <n v="4.49"/>
        <n v="3.78"/>
        <n v="3.54"/>
        <n v="3.1"/>
        <n v="2.5299999999999998"/>
        <n v="2.33"/>
        <n v="2.16"/>
        <n v="2.06"/>
        <n v="1.89"/>
        <n v="1.72"/>
        <n v="1.52"/>
        <n v="5.81"/>
        <n v="4.8499999999999996"/>
        <n v="3.07"/>
        <n v="2.85"/>
        <n v="2.48"/>
        <n v="2.41"/>
        <n v="2.2200000000000002"/>
        <n v="1.7"/>
        <n v="1.44"/>
        <n v="11.12"/>
        <n v="4.9400000000000004"/>
        <n v="3.63"/>
        <n v="3.13"/>
        <n v="3.11"/>
        <n v="3.09"/>
        <n v="2.1800000000000002"/>
        <n v="1.8"/>
        <n v="1.56"/>
        <n v="1.4"/>
        <n v="1.28"/>
        <n v="3.44"/>
        <n v="3.19"/>
        <n v="2.71"/>
        <n v="2.36"/>
        <n v="2.17"/>
        <n v="1.98"/>
        <n v="1.53"/>
        <n v="5.07"/>
        <n v="3.45"/>
        <n v="3.23"/>
        <n v="2.65"/>
        <n v="2.21"/>
        <n v="2.1"/>
        <n v="1.87"/>
        <n v="1.74"/>
        <n v="1.43"/>
        <n v="4.9000000000000004"/>
        <n v="4.09"/>
        <n v="4.08"/>
        <n v="3.75"/>
        <n v="2.91"/>
        <n v="2.76"/>
        <n v="2.74"/>
        <n v="2.69"/>
        <n v="2.0299999999999998"/>
        <n v="1.78"/>
        <n v="1.69"/>
        <n v="1.38"/>
        <n v="6.08"/>
        <n v="3.76"/>
        <n v="3.37"/>
        <n v="3.25"/>
        <n v="3.04"/>
        <n v="2.98"/>
        <n v="2.08"/>
        <n v="1.94"/>
        <n v="1.71"/>
        <n v="6.06"/>
        <n v="3.57"/>
        <n v="3.32"/>
        <n v="3.17"/>
        <n v="2.96"/>
        <n v="2.27"/>
        <n v="2.12"/>
        <n v="4.72"/>
        <n v="3.94"/>
        <n v="3.36"/>
        <n v="2.97"/>
        <n v="2.52"/>
        <n v="1.61"/>
        <n v="5.7"/>
        <n v="4.91"/>
        <n v="4.37"/>
        <n v="4.0599999999999996"/>
        <n v="4"/>
        <n v="3.7"/>
        <n v="3.46"/>
        <n v="1.82"/>
        <n v="5.63"/>
        <n v="3.51"/>
        <n v="2.9"/>
        <n v="2.83"/>
        <n v="2.7"/>
        <n v="2.38"/>
        <n v="2.15"/>
        <n v="6.58"/>
        <n v="5.58"/>
        <n v="3.47"/>
        <n v="2.73"/>
        <n v="1.99"/>
        <n v="1.36"/>
        <n v="1.24"/>
        <n v="4.3099999999999996"/>
        <n v="4.13"/>
        <n v="3.06"/>
        <n v="2.94"/>
        <n v="2.75"/>
        <n v="2.39"/>
        <n v="1.96"/>
        <n v="1.77"/>
        <n v="6.22"/>
        <n v="4.04"/>
        <n v="3.6"/>
        <n v="3.41"/>
        <n v="2.11"/>
        <n v="5.89"/>
        <n v="4.83"/>
        <n v="1.83"/>
        <n v="5.6"/>
        <n v="4.2"/>
        <n v="2.4"/>
        <n v="2.13"/>
        <n v="5.54"/>
        <n v="5.25"/>
        <n v="3.5"/>
        <n v="3.3"/>
        <n v="3.2"/>
        <n v="2.2400000000000002"/>
        <n v="1.68"/>
        <n v="1.39"/>
        <n v="6.61"/>
        <n v="4.57"/>
        <n v="3.99"/>
        <n v="3.15"/>
        <n v="2.89"/>
        <n v="5.27"/>
        <n v="4.46"/>
        <n v="3.28"/>
        <n v="2.04"/>
        <n v="6.71"/>
        <n v="4.03"/>
        <n v="3.9"/>
        <n v="2.35"/>
        <n v="1.85"/>
        <n v="7.21"/>
        <n v="3.92"/>
        <n v="1.2"/>
        <n v="5.09"/>
        <n v="3.42"/>
        <n v="2.54"/>
        <n v="2.19"/>
        <n v="1.66"/>
        <n v="4.62"/>
        <n v="4.01"/>
        <n v="3.4"/>
        <n v="2.09"/>
        <n v="1.48"/>
        <n v="5.83"/>
        <n v="4.74"/>
        <n v="4.24"/>
        <n v="4.5999999999999996"/>
        <n v="6.28"/>
        <n v="4.3899999999999997"/>
        <n v="3.79"/>
        <n v="3.93"/>
        <n v="3.86"/>
        <n v="3"/>
        <n v="2.79"/>
        <n v="1.86"/>
        <n v="15.15"/>
        <n v="3.03"/>
        <n v="2.46"/>
        <n v="1.1399999999999999"/>
        <n v="4.0199999999999996"/>
        <n v="1.41"/>
        <n v="5"/>
        <n v="1.9"/>
        <n v="1.25"/>
        <n v="5.96"/>
        <n v="4.5599999999999996"/>
        <n v="3.16"/>
        <n v="9.06"/>
        <n v="4.29"/>
        <n v="3.58"/>
        <n v="3.22"/>
        <n v="2.5"/>
        <n v="4.79"/>
        <n v="3.74"/>
        <n v="6.83"/>
        <n v="4.4400000000000004"/>
        <n v="7.48"/>
        <n v="3.12"/>
        <n v="2.8"/>
        <n v="5.05"/>
        <n v="3.24"/>
        <n v="6.78"/>
        <n v="3.77"/>
        <n v="6.94"/>
        <n v="6.02"/>
        <n v="4.32"/>
        <n v="5.95"/>
        <n v="6.59"/>
        <n v="5.24"/>
        <n v="3.89"/>
        <n v="3.38"/>
        <n v="2.2000000000000002"/>
        <n v="12.15"/>
        <n v="4.18"/>
        <n v="5.43"/>
        <n v="4.3499999999999996"/>
        <n v="3.48"/>
        <n v="2.61"/>
      </sharedItems>
    </cacheField>
    <cacheField name="総数（個人）" numFmtId="0" sqlType="3">
      <sharedItems containsSemiMixedTypes="0" containsString="0" containsNumber="1" containsInteger="1" minValue="0" maxValue="5392" count="215">
        <n v="5392"/>
        <n v="2452"/>
        <n v="3786"/>
        <n v="3419"/>
        <n v="2529"/>
        <n v="2576"/>
        <n v="3003"/>
        <n v="2757"/>
        <n v="2830"/>
        <n v="2574"/>
        <n v="643"/>
        <n v="1176"/>
        <n v="1441"/>
        <n v="1230"/>
        <n v="1003"/>
        <n v="393"/>
        <n v="1237"/>
        <n v="384"/>
        <n v="719"/>
        <n v="720"/>
        <n v="1616"/>
        <n v="1302"/>
        <n v="696"/>
        <n v="1203"/>
        <n v="1066"/>
        <n v="1030"/>
        <n v="693"/>
        <n v="723"/>
        <n v="764"/>
        <n v="378"/>
        <n v="690"/>
        <n v="433"/>
        <n v="127"/>
        <n v="327"/>
        <n v="47"/>
        <n v="511"/>
        <n v="96"/>
        <n v="315"/>
        <n v="231"/>
        <n v="267"/>
        <n v="158"/>
        <n v="176"/>
        <n v="109"/>
        <n v="41"/>
        <n v="106"/>
        <n v="101"/>
        <n v="78"/>
        <n v="90"/>
        <n v="2"/>
        <n v="83"/>
        <n v="19"/>
        <n v="44"/>
        <n v="65"/>
        <n v="35"/>
        <n v="8"/>
        <n v="36"/>
        <n v="13"/>
        <n v="28"/>
        <n v="52"/>
        <n v="49"/>
        <n v="152"/>
        <n v="85"/>
        <n v="115"/>
        <n v="112"/>
        <n v="93"/>
        <n v="79"/>
        <n v="94"/>
        <n v="92"/>
        <n v="68"/>
        <n v="61"/>
        <n v="76"/>
        <n v="34"/>
        <n v="3"/>
        <n v="27"/>
        <n v="10"/>
        <n v="31"/>
        <n v="24"/>
        <n v="209"/>
        <n v="123"/>
        <n v="181"/>
        <n v="129"/>
        <n v="120"/>
        <n v="87"/>
        <n v="105"/>
        <n v="95"/>
        <n v="80"/>
        <n v="69"/>
        <n v="60"/>
        <n v="58"/>
        <n v="12"/>
        <n v="18"/>
        <n v="11"/>
        <n v="39"/>
        <n v="17"/>
        <n v="22"/>
        <n v="182"/>
        <n v="186"/>
        <n v="114"/>
        <n v="110"/>
        <n v="77"/>
        <n v="54"/>
        <n v="62"/>
        <n v="55"/>
        <n v="67"/>
        <n v="51"/>
        <n v="53"/>
        <n v="48"/>
        <n v="15"/>
        <n v="21"/>
        <n v="98"/>
        <n v="43"/>
        <n v="56"/>
        <n v="57"/>
        <n v="32"/>
        <n v="16"/>
        <n v="33"/>
        <n v="5"/>
        <n v="26"/>
        <n v="9"/>
        <n v="30"/>
        <n v="25"/>
        <n v="170"/>
        <n v="113"/>
        <n v="73"/>
        <n v="102"/>
        <n v="66"/>
        <n v="42"/>
        <n v="40"/>
        <n v="137"/>
        <n v="119"/>
        <n v="75"/>
        <n v="70"/>
        <n v="20"/>
        <n v="6"/>
        <n v="38"/>
        <n v="1198"/>
        <n v="446"/>
        <n v="345"/>
        <n v="148"/>
        <n v="153"/>
        <n v="290"/>
        <n v="194"/>
        <n v="247"/>
        <n v="207"/>
        <n v="159"/>
        <n v="37"/>
        <n v="29"/>
        <n v="97"/>
        <n v="99"/>
        <n v="71"/>
        <n v="1"/>
        <n v="14"/>
        <n v="639"/>
        <n v="468"/>
        <n v="351"/>
        <n v="417"/>
        <n v="317"/>
        <n v="354"/>
        <n v="293"/>
        <n v="91"/>
        <n v="274"/>
        <n v="272"/>
        <n v="239"/>
        <n v="173"/>
        <n v="169"/>
        <n v="147"/>
        <n v="46"/>
        <n v="74"/>
        <n v="439"/>
        <n v="395"/>
        <n v="191"/>
        <n v="361"/>
        <n v="265"/>
        <n v="270"/>
        <n v="220"/>
        <n v="232"/>
        <n v="143"/>
        <n v="174"/>
        <n v="100"/>
        <n v="23"/>
        <n v="84"/>
        <n v="273"/>
        <n v="154"/>
        <n v="132"/>
        <n v="151"/>
        <n v="104"/>
        <n v="134"/>
        <n v="4"/>
        <n v="405"/>
        <n v="280"/>
        <n v="238"/>
        <n v="164"/>
        <n v="219"/>
        <n v="171"/>
        <n v="86"/>
        <n v="7"/>
        <n v="50"/>
        <n v="160"/>
        <n v="82"/>
        <n v="59"/>
        <n v="64"/>
        <n v="45"/>
        <n v="131"/>
        <n v="124"/>
        <n v="89"/>
        <n v="72"/>
        <n v="183"/>
        <n v="142"/>
        <n v="140"/>
        <n v="136"/>
        <n v="138"/>
        <n v="0"/>
        <n v="63"/>
        <n v="195"/>
        <n v="81"/>
      </sharedItems>
    </cacheField>
    <cacheField name="構成比（個人）" numFmtId="0" sqlType="3">
      <sharedItems containsSemiMixedTypes="0" containsString="0" containsNumber="1" minValue="0" maxValue="20.74" count="480">
        <n v="7.3"/>
        <n v="3.32"/>
        <n v="5.13"/>
        <n v="4.63"/>
        <n v="3.43"/>
        <n v="3.49"/>
        <n v="4.07"/>
        <n v="3.73"/>
        <n v="3.83"/>
        <n v="0.87"/>
        <n v="1.59"/>
        <n v="1.95"/>
        <n v="1.67"/>
        <n v="1.36"/>
        <n v="0.53"/>
        <n v="1.68"/>
        <n v="0.52"/>
        <n v="0.97"/>
        <n v="0.98"/>
        <n v="7.83"/>
        <n v="6.31"/>
        <n v="3.37"/>
        <n v="5.83"/>
        <n v="5.17"/>
        <n v="4.99"/>
        <n v="3.36"/>
        <n v="3.5"/>
        <n v="3.7"/>
        <n v="1.83"/>
        <n v="3.34"/>
        <n v="2.1"/>
        <n v="0.62"/>
        <n v="0.23"/>
        <n v="2.48"/>
        <n v="0.47"/>
        <n v="1.53"/>
        <n v="1.1200000000000001"/>
        <n v="1.29"/>
        <n v="0.77"/>
        <n v="9.42"/>
        <n v="2.19"/>
        <n v="5.67"/>
        <n v="5.4"/>
        <n v="4.17"/>
        <n v="4.82"/>
        <n v="0.11"/>
        <n v="4.4400000000000004"/>
        <n v="1.02"/>
        <n v="2.35"/>
        <n v="3.48"/>
        <n v="1.87"/>
        <n v="0.43"/>
        <n v="1.93"/>
        <n v="0.7"/>
        <n v="1.5"/>
        <n v="2.78"/>
        <n v="2.62"/>
        <n v="7.9"/>
        <n v="4.42"/>
        <n v="5.97"/>
        <n v="5.82"/>
        <n v="4.83"/>
        <n v="4.0999999999999996"/>
        <n v="4.88"/>
        <n v="4.78"/>
        <n v="3.53"/>
        <n v="3.17"/>
        <n v="3.95"/>
        <n v="0.68"/>
        <n v="2.29"/>
        <n v="1.77"/>
        <n v="2.5499999999999998"/>
        <n v="0.16"/>
        <n v="1.4"/>
        <n v="1.61"/>
        <n v="1.25"/>
        <n v="7.78"/>
        <n v="4.58"/>
        <n v="6.74"/>
        <n v="4.8"/>
        <n v="4.47"/>
        <n v="3.24"/>
        <n v="3.91"/>
        <n v="3.54"/>
        <n v="3.42"/>
        <n v="2.98"/>
        <n v="2.57"/>
        <n v="2.23"/>
        <n v="2.16"/>
        <n v="0.45"/>
        <n v="0.67"/>
        <n v="0.41"/>
        <n v="1.45"/>
        <n v="0.63"/>
        <n v="0.82"/>
        <n v="7.39"/>
        <n v="7.55"/>
        <n v="3.13"/>
        <n v="3.66"/>
        <n v="3.78"/>
        <n v="2.52"/>
        <n v="3.09"/>
        <n v="2.36"/>
        <n v="2.72"/>
        <n v="1.46"/>
        <n v="2.0699999999999998"/>
        <n v="2.15"/>
        <n v="0.61"/>
        <n v="0.85"/>
        <n v="7.03"/>
        <n v="7.25"/>
        <n v="3.18"/>
        <n v="4.8099999999999996"/>
        <n v="4.1399999999999997"/>
        <n v="3.62"/>
        <n v="4.22"/>
        <n v="2.37"/>
        <n v="1.18"/>
        <n v="2.44"/>
        <n v="0.37"/>
        <n v="1.33"/>
        <n v="1.92"/>
        <n v="2.2200000000000002"/>
        <n v="1.85"/>
        <n v="0.96"/>
        <n v="1.78"/>
        <n v="9.61"/>
        <n v="6.39"/>
        <n v="4.13"/>
        <n v="5.77"/>
        <n v="5.43"/>
        <n v="4.41"/>
        <n v="3.39"/>
        <n v="2.66"/>
        <n v="2.04"/>
        <n v="2.2599999999999998"/>
        <n v="2.77"/>
        <n v="1.75"/>
        <n v="9.74"/>
        <n v="8.4600000000000009"/>
        <n v="2.2799999999999998"/>
        <n v="5.33"/>
        <n v="4.9800000000000004"/>
        <n v="2.56"/>
        <n v="1.42"/>
        <n v="2.99"/>
        <n v="1.71"/>
        <n v="0.78"/>
        <n v="1.1399999999999999"/>
        <n v="0.92"/>
        <n v="0.21"/>
        <n v="2.7"/>
        <n v="2.4900000000000002"/>
        <n v="20.74"/>
        <n v="7.72"/>
        <n v="2.65"/>
        <n v="5.0199999999999996"/>
        <n v="4.28"/>
        <n v="4"/>
        <n v="3.58"/>
        <n v="2.75"/>
        <n v="0.64"/>
        <n v="1"/>
        <n v="1.99"/>
        <n v="0.5"/>
        <n v="0.28000000000000003"/>
        <n v="1.32"/>
        <n v="6.65"/>
        <n v="7.16"/>
        <n v="3.98"/>
        <n v="4.05"/>
        <n v="4.34"/>
        <n v="4.7"/>
        <n v="0.72"/>
        <n v="3.11"/>
        <n v="2.39"/>
        <n v="1.1599999999999999"/>
        <n v="0.57999999999999996"/>
        <n v="0.94"/>
        <n v="7.0000000000000007E-2"/>
        <n v="2.89"/>
        <n v="1.01"/>
        <n v="1.08"/>
        <n v="1.23"/>
        <n v="7.71"/>
        <n v="5.65"/>
        <n v="4.24"/>
        <n v="5.03"/>
        <n v="4.2699999999999996"/>
        <n v="1.1000000000000001"/>
        <n v="3.31"/>
        <n v="3.28"/>
        <n v="1.91"/>
        <n v="1.38"/>
        <n v="2.09"/>
        <n v="0.93"/>
        <n v="0.56000000000000005"/>
        <n v="0.89"/>
        <n v="1.0900000000000001"/>
        <n v="7.47"/>
        <n v="6.72"/>
        <n v="3.25"/>
        <n v="6.14"/>
        <n v="4.51"/>
        <n v="4.59"/>
        <n v="4.54"/>
        <n v="3.74"/>
        <n v="3.08"/>
        <n v="2.4300000000000002"/>
        <n v="2.96"/>
        <n v="0.31"/>
        <n v="0.71"/>
        <n v="1.7"/>
        <n v="0.39"/>
        <n v="0.48"/>
        <n v="1.73"/>
        <n v="1.43"/>
        <n v="9.33"/>
        <n v="5.95"/>
        <n v="5.26"/>
        <n v="5.16"/>
        <n v="3.55"/>
        <n v="4.2"/>
        <n v="1.2"/>
        <n v="2.12"/>
        <n v="2.0499999999999998"/>
        <n v="0.14000000000000001"/>
        <n v="9.57"/>
        <n v="6.26"/>
        <n v="6.62"/>
        <n v="5.63"/>
        <n v="4.5199999999999996"/>
        <n v="3.88"/>
        <n v="5.18"/>
        <n v="4.9400000000000004"/>
        <n v="0.26"/>
        <n v="4.04"/>
        <n v="2.0299999999999998"/>
        <n v="3.76"/>
        <n v="1.8"/>
        <n v="1.1299999999999999"/>
        <n v="0.24"/>
        <n v="6.35"/>
        <n v="3.45"/>
        <n v="4.01"/>
        <n v="4.3"/>
        <n v="2.71"/>
        <n v="2.2400000000000002"/>
        <n v="2.33"/>
        <n v="1.31"/>
        <n v="0.65"/>
        <n v="10.96"/>
        <n v="8.06"/>
        <n v="5.68"/>
        <n v="0.13"/>
        <n v="6.61"/>
        <n v="4.8899999999999997"/>
        <n v="4.49"/>
        <n v="1.19"/>
        <n v="0.4"/>
        <n v="9.85"/>
        <n v="6.16"/>
        <n v="4.93"/>
        <n v="5.05"/>
        <n v="3.63"/>
        <n v="4.37"/>
        <n v="3.94"/>
        <n v="0.55000000000000004"/>
        <n v="8.7200000000000006"/>
        <n v="8.35"/>
        <n v="5.01"/>
        <n v="4.08"/>
        <n v="1.3"/>
        <n v="3.71"/>
        <n v="2.97"/>
        <n v="3.15"/>
        <n v="1.48"/>
        <n v="1.1100000000000001"/>
        <n v="1.86"/>
        <n v="0.74"/>
        <n v="5.14"/>
        <n v="5.47"/>
        <n v="3.69"/>
        <n v="4.0599999999999996"/>
        <n v="3.23"/>
        <n v="2.3199999999999998"/>
        <n v="2.74"/>
        <n v="2.4500000000000002"/>
        <n v="1.24"/>
        <n v="9.59"/>
        <n v="6.27"/>
        <n v="4.8600000000000003"/>
        <n v="4.79"/>
        <n v="4.66"/>
        <n v="3.9"/>
        <n v="2.67"/>
        <n v="3.29"/>
        <n v="1.06"/>
        <n v="0.86"/>
        <n v="8.77"/>
        <n v="7.38"/>
        <n v="4.1500000000000004"/>
        <n v="4.62"/>
        <n v="2.46"/>
        <n v="1.69"/>
        <n v="1.54"/>
        <n v="0.46"/>
        <n v="2.31"/>
        <n v="5.64"/>
        <n v="5.53"/>
        <n v="3.38"/>
        <n v="2.25"/>
        <n v="1.84"/>
        <n v="1.64"/>
        <n v="9.35"/>
        <n v="4.55"/>
        <n v="6"/>
        <n v="0.19"/>
        <n v="4.67"/>
        <n v="5.62"/>
        <n v="4.6100000000000003"/>
        <n v="2.5299999999999998"/>
        <n v="2.4"/>
        <n v="0.88"/>
        <n v="1.39"/>
        <n v="0.32"/>
        <n v="1.9"/>
        <n v="0.95"/>
        <n v="0.44"/>
        <n v="7.5"/>
        <n v="6.92"/>
        <n v="5.35"/>
        <n v="2.14"/>
        <n v="2.06"/>
        <n v="2.88"/>
        <n v="1.81"/>
        <n v="1.57"/>
        <n v="1.98"/>
        <n v="6.91"/>
        <n v="5.07"/>
        <n v="4.16"/>
        <n v="3.41"/>
        <n v="0.75"/>
        <n v="2.91"/>
        <n v="2.83"/>
        <n v="2.08"/>
        <n v="10.210000000000001"/>
        <n v="3.85"/>
        <n v="3.77"/>
        <n v="3.92"/>
        <n v="0.59"/>
        <n v="3.26"/>
        <n v="0.22"/>
        <n v="2.81"/>
        <n v="1.04"/>
        <n v="2.59"/>
        <n v="1.41"/>
        <n v="8.92"/>
        <n v="5.42"/>
        <n v="2.17"/>
        <n v="9.27"/>
        <n v="0.3"/>
        <n v="3.65"/>
        <n v="1.37"/>
        <n v="4.26"/>
        <n v="3.8"/>
        <n v="1.52"/>
        <n v="0.15"/>
        <n v="2.13"/>
        <n v="0.76"/>
        <n v="5.0999999999999996"/>
        <n v="4.95"/>
        <n v="4.33"/>
        <n v="2.63"/>
        <n v="2.0099999999999998"/>
        <n v="2.4700000000000002"/>
        <n v="6.44"/>
        <n v="5.2"/>
        <n v="2.11"/>
        <n v="3.97"/>
        <n v="3.35"/>
        <n v="3.84"/>
        <n v="2.73"/>
        <n v="2.6"/>
        <n v="0.99"/>
        <n v="2.61"/>
        <n v="2.79"/>
        <n v="1.22"/>
        <n v="0"/>
        <n v="6.54"/>
        <n v="3.2"/>
        <n v="2.69"/>
        <n v="1.96"/>
        <n v="1.6"/>
        <n v="1.74"/>
        <n v="1.82"/>
        <n v="4.6500000000000004"/>
        <n v="5.8"/>
        <n v="4.5"/>
        <n v="4.3499999999999996"/>
        <n v="2.21"/>
        <n v="0.69"/>
        <n v="9.4499999999999993"/>
        <n v="3.6"/>
        <n v="3"/>
        <n v="1.35"/>
        <n v="1.65"/>
        <n v="1.05"/>
        <n v="6.94"/>
        <n v="3.56"/>
        <n v="2.5"/>
        <n v="2.02"/>
        <n v="16.8"/>
        <n v="2.93"/>
        <n v="3.79"/>
        <n v="3.27"/>
        <n v="1.21"/>
        <n v="1.72"/>
        <n v="6.38"/>
        <n v="2.68"/>
        <n v="4.3600000000000003"/>
        <n v="1.17"/>
        <n v="1.34"/>
        <n v="2.1800000000000002"/>
        <n v="2.85"/>
        <n v="1.51"/>
        <n v="6.6"/>
        <n v="6.9"/>
        <n v="6.15"/>
        <n v="4.4800000000000004"/>
        <n v="3.87"/>
        <n v="3.19"/>
        <n v="0.91"/>
        <n v="7.04"/>
        <n v="4.2300000000000004"/>
        <n v="2.82"/>
        <n v="6.98"/>
        <n v="3.82"/>
        <n v="3.16"/>
        <n v="1.66"/>
        <n v="2.27"/>
        <n v="6.8"/>
        <n v="4.25"/>
        <n v="4.53"/>
        <n v="0.56999999999999995"/>
        <n v="10.1"/>
        <n v="6.57"/>
        <n v="4.29"/>
        <n v="3.03"/>
        <n v="0.25"/>
        <n v="5.56"/>
        <n v="1.28"/>
        <n v="7.76"/>
        <n v="2.2999999999999998"/>
        <n v="4.5999999999999996"/>
        <n v="1.1499999999999999"/>
        <n v="0.28999999999999998"/>
        <n v="5"/>
        <n v="3.67"/>
        <n v="2"/>
        <n v="9.6"/>
        <n v="8.64"/>
        <n v="5.37"/>
        <n v="3.07"/>
        <n v="6.32"/>
        <n v="4.5599999999999996"/>
        <n v="4.21"/>
        <n v="4.91"/>
        <n v="3.86"/>
        <n v="3.51"/>
        <n v="5.22"/>
        <n v="2.95"/>
        <n v="14.77"/>
        <n v="3.21"/>
        <n v="5.3"/>
        <n v="3.05"/>
        <n v="2.41"/>
        <n v="1.44"/>
        <n v="6.69"/>
        <n v="6.1"/>
      </sharedItems>
    </cacheField>
    <cacheField name="総数（法人）" numFmtId="0" sqlType="3">
      <sharedItems containsSemiMixedTypes="0" containsString="0" containsNumber="1" containsInteger="1" minValue="0" maxValue="1792" count="136">
        <n v="543"/>
        <n v="1792"/>
        <n v="246"/>
        <n v="58"/>
        <n v="911"/>
        <n v="605"/>
        <n v="154"/>
        <n v="399"/>
        <n v="187"/>
        <n v="283"/>
        <n v="1725"/>
        <n v="988"/>
        <n v="619"/>
        <n v="720"/>
        <n v="854"/>
        <n v="1250"/>
        <n v="376"/>
        <n v="1224"/>
        <n v="885"/>
        <n v="873"/>
        <n v="27"/>
        <n v="180"/>
        <n v="699"/>
        <n v="113"/>
        <n v="185"/>
        <n v="95"/>
        <n v="322"/>
        <n v="197"/>
        <n v="122"/>
        <n v="374"/>
        <n v="256"/>
        <n v="470"/>
        <n v="230"/>
        <n v="492"/>
        <n v="29"/>
        <n v="407"/>
        <n v="144"/>
        <n v="225"/>
        <n v="167"/>
        <n v="276"/>
        <n v="37"/>
        <n v="48"/>
        <n v="105"/>
        <n v="24"/>
        <n v="13"/>
        <n v="15"/>
        <n v="100"/>
        <n v="16"/>
        <n v="59"/>
        <n v="33"/>
        <n v="12"/>
        <n v="30"/>
        <n v="56"/>
        <n v="26"/>
        <n v="43"/>
        <n v="1"/>
        <n v="3"/>
        <n v="69"/>
        <n v="17"/>
        <n v="5"/>
        <n v="6"/>
        <n v="0"/>
        <n v="22"/>
        <n v="63"/>
        <n v="19"/>
        <n v="2"/>
        <n v="47"/>
        <n v="20"/>
        <n v="36"/>
        <n v="18"/>
        <n v="75"/>
        <n v="14"/>
        <n v="11"/>
        <n v="28"/>
        <n v="4"/>
        <n v="9"/>
        <n v="39"/>
        <n v="45"/>
        <n v="35"/>
        <n v="10"/>
        <n v="32"/>
        <n v="23"/>
        <n v="31"/>
        <n v="8"/>
        <n v="55"/>
        <n v="7"/>
        <n v="38"/>
        <n v="34"/>
        <n v="60"/>
        <n v="96"/>
        <n v="53"/>
        <n v="195"/>
        <n v="188"/>
        <n v="51"/>
        <n v="145"/>
        <n v="52"/>
        <n v="129"/>
        <n v="155"/>
        <n v="147"/>
        <n v="132"/>
        <n v="134"/>
        <n v="57"/>
        <n v="50"/>
        <n v="21"/>
        <n v="41"/>
        <n v="25"/>
        <n v="109"/>
        <n v="106"/>
        <n v="251"/>
        <n v="81"/>
        <n v="44"/>
        <n v="133"/>
        <n v="151"/>
        <n v="114"/>
        <n v="83"/>
        <n v="219"/>
        <n v="46"/>
        <n v="61"/>
        <n v="71"/>
        <n v="140"/>
        <n v="115"/>
        <n v="116"/>
        <n v="110"/>
        <n v="64"/>
        <n v="42"/>
        <n v="62"/>
        <n v="199"/>
        <n v="79"/>
        <n v="77"/>
        <n v="88"/>
        <n v="70"/>
        <n v="73"/>
        <n v="66"/>
        <n v="54"/>
        <n v="40"/>
        <n v="87"/>
      </sharedItems>
    </cacheField>
    <cacheField name="構成比（法人）" numFmtId="0" sqlType="3">
      <sharedItems containsSemiMixedTypes="0" containsString="0" containsNumber="1" minValue="0" maxValue="19.75" count="363">
        <n v="1.0900000000000001"/>
        <n v="3.61"/>
        <n v="0.5"/>
        <n v="0.12"/>
        <n v="1.83"/>
        <n v="1.22"/>
        <n v="0.31"/>
        <n v="0.8"/>
        <n v="0.38"/>
        <n v="0.56999999999999995"/>
        <n v="3.47"/>
        <n v="1.99"/>
        <n v="1.25"/>
        <n v="1.45"/>
        <n v="1.72"/>
        <n v="2.52"/>
        <n v="0.76"/>
        <n v="2.46"/>
        <n v="1.78"/>
        <n v="1.76"/>
        <n v="0.16"/>
        <n v="1.08"/>
        <n v="4.1900000000000004"/>
        <n v="0.68"/>
        <n v="1.1100000000000001"/>
        <n v="1.93"/>
        <n v="1.18"/>
        <n v="0.73"/>
        <n v="2.2400000000000002"/>
        <n v="0.35"/>
        <n v="1.54"/>
        <n v="2.82"/>
        <n v="1.38"/>
        <n v="2.95"/>
        <n v="0.17"/>
        <n v="2.44"/>
        <n v="0.86"/>
        <n v="1.35"/>
        <n v="1"/>
        <n v="1.66"/>
        <n v="1.79"/>
        <n v="2.3199999999999998"/>
        <n v="5.07"/>
        <n v="1.1599999999999999"/>
        <n v="0.63"/>
        <n v="1.3"/>
        <n v="0.72"/>
        <n v="4.83"/>
        <n v="0.77"/>
        <n v="2.85"/>
        <n v="1.59"/>
        <n v="0.57999999999999996"/>
        <n v="2.71"/>
        <n v="1.26"/>
        <n v="2.08"/>
        <n v="0.05"/>
        <n v="0.14000000000000001"/>
        <n v="1.1399999999999999"/>
        <n v="5.23"/>
        <n v="1.29"/>
        <n v="2.0499999999999998"/>
        <n v="0.45"/>
        <n v="0"/>
        <n v="1.67"/>
        <n v="0.23"/>
        <n v="4.78"/>
        <n v="0.99"/>
        <n v="1.44"/>
        <n v="0.15"/>
        <n v="3.56"/>
        <n v="1.52"/>
        <n v="2.73"/>
        <n v="1.36"/>
        <n v="4.68"/>
        <n v="0.87"/>
        <n v="1.37"/>
        <n v="0.69"/>
        <n v="1.75"/>
        <n v="0.19"/>
        <n v="0.25"/>
        <n v="0.56000000000000005"/>
        <n v="1.06"/>
        <n v="0.75"/>
        <n v="2.93"/>
        <n v="2.4300000000000002"/>
        <n v="2.81"/>
        <n v="0.94"/>
        <n v="2.1800000000000002"/>
        <n v="1.81"/>
        <n v="0.81"/>
        <n v="0.4"/>
        <n v="0.24"/>
        <n v="1.77"/>
        <n v="0.32"/>
        <n v="2.58"/>
        <n v="1.85"/>
        <n v="1.21"/>
        <n v="2.5"/>
        <n v="1.05"/>
        <n v="0.65"/>
        <n v="2.42"/>
        <n v="1.65"/>
        <n v="5.33"/>
        <n v="0.28999999999999998"/>
        <n v="0.39"/>
        <n v="2.23"/>
        <n v="3.69"/>
        <n v="1.84"/>
        <n v="3.3"/>
        <n v="1.94"/>
        <n v="1.07"/>
        <n v="2.62"/>
        <n v="0.48"/>
        <n v="2.02"/>
        <n v="5.04"/>
        <n v="0.84"/>
        <n v="1.6"/>
        <n v="0.67"/>
        <n v="2.35"/>
        <n v="1.34"/>
        <n v="3.28"/>
        <n v="1.01"/>
        <n v="1.55"/>
        <n v="0.85"/>
        <n v="4.49"/>
        <n v="0.62"/>
        <n v="0.54"/>
        <n v="0.46"/>
        <n v="1.86"/>
        <n v="2.79"/>
        <n v="2.09"/>
        <n v="2.94"/>
        <n v="0.08"/>
        <n v="0.43"/>
        <n v="1.02"/>
        <n v="3.77"/>
        <n v="3.63"/>
        <n v="2.8"/>
        <n v="2.4900000000000002"/>
        <n v="0.1"/>
        <n v="3"/>
        <n v="2.84"/>
        <n v="2.5499999999999998"/>
        <n v="2.59"/>
        <n v="1.33"/>
        <n v="0.83"/>
        <n v="3.26"/>
        <n v="0.51"/>
        <n v="2.57"/>
        <n v="1.03"/>
        <n v="2.69"/>
        <n v="0.34"/>
        <n v="2.86"/>
        <n v="0.74"/>
        <n v="1.2"/>
        <n v="1.89"/>
        <n v="2.34"/>
        <n v="2"/>
        <n v="1.43"/>
        <n v="0.11"/>
        <n v="2.0099999999999998"/>
        <n v="1.95"/>
        <n v="0.18"/>
        <n v="4.62"/>
        <n v="0.53"/>
        <n v="1.49"/>
        <n v="2.4500000000000002"/>
        <n v="0.98"/>
        <n v="2.78"/>
        <n v="2.1"/>
        <n v="1.53"/>
        <n v="1.28"/>
        <n v="5.28"/>
        <n v="1.47"/>
        <n v="1.71"/>
        <n v="3.38"/>
        <n v="2.77"/>
        <n v="2.65"/>
        <n v="0.7"/>
        <n v="1.1299999999999999"/>
        <n v="1.27"/>
        <n v="0.41"/>
        <n v="2.29"/>
        <n v="0.61"/>
        <n v="0.66"/>
        <n v="2.7"/>
        <n v="3.05"/>
        <n v="0.71"/>
        <n v="2.14"/>
        <n v="3.11"/>
        <n v="1.8"/>
        <n v="5.79"/>
        <n v="0.9"/>
        <n v="2.2999999999999998"/>
        <n v="0.52"/>
        <n v="5.24"/>
        <n v="0.55000000000000004"/>
        <n v="1.69"/>
        <n v="2.56"/>
        <n v="2.04"/>
        <n v="1.46"/>
        <n v="5.05"/>
        <n v="2.11"/>
        <n v="2.5299999999999998"/>
        <n v="0.21"/>
        <n v="0.42"/>
        <n v="3.58"/>
        <n v="1.24"/>
        <n v="8.24"/>
        <n v="4.63"/>
        <n v="2.6"/>
        <n v="7.11"/>
        <n v="5.64"/>
        <n v="4.18"/>
        <n v="2.48"/>
        <n v="2.37"/>
        <n v="4.57"/>
        <n v="1.04"/>
        <n v="4.43"/>
        <n v="2.2799999999999998"/>
        <n v="2.15"/>
        <n v="3.74"/>
        <n v="3.25"/>
        <n v="1.73"/>
        <n v="2.2599999999999998"/>
        <n v="5.66"/>
        <n v="2.64"/>
        <n v="1.51"/>
        <n v="1.19"/>
        <n v="0.36"/>
        <n v="3.1"/>
        <n v="2.38"/>
        <n v="0.6"/>
        <n v="4.76"/>
        <n v="2.74"/>
        <n v="0.92"/>
        <n v="0.49"/>
        <n v="1.63"/>
        <n v="0.33"/>
        <n v="0.22"/>
        <n v="1.9"/>
        <n v="0.27"/>
        <n v="1.68"/>
        <n v="3.41"/>
        <n v="5.73"/>
        <n v="1.82"/>
        <n v="0.26"/>
        <n v="3.91"/>
        <n v="3.13"/>
        <n v="7.92"/>
        <n v="2.5099999999999998"/>
        <n v="4.25"/>
        <n v="1.74"/>
        <n v="1.39"/>
        <n v="6.04"/>
        <n v="6.67"/>
        <n v="4.8600000000000003"/>
        <n v="1.88"/>
        <n v="2.92"/>
        <n v="5.09"/>
        <n v="0.44"/>
        <n v="4.9400000000000004"/>
        <n v="5.38"/>
        <n v="2.4700000000000002"/>
        <n v="2.0299999999999998"/>
        <n v="2.91"/>
        <n v="1.31"/>
        <n v="0.3"/>
        <n v="3.04"/>
        <n v="0.91"/>
        <n v="2.89"/>
        <n v="4.28"/>
        <n v="2.63"/>
        <n v="1.56"/>
        <n v="4.38"/>
        <n v="0.97"/>
        <n v="3.21"/>
        <n v="3.86"/>
        <n v="0.96"/>
        <n v="4.82"/>
        <n v="2.17"/>
        <n v="5.87"/>
        <n v="1.4"/>
        <n v="0.28000000000000003"/>
        <n v="1.96"/>
        <n v="3.07"/>
        <n v="1.1200000000000001"/>
        <n v="5.25"/>
        <n v="0.2"/>
        <n v="1.41"/>
        <n v="2.2200000000000002"/>
        <n v="1.62"/>
        <n v="7.12"/>
        <n v="0.59"/>
        <n v="4.1500000000000004"/>
        <n v="1.48"/>
        <n v="0.89"/>
        <n v="4.08"/>
        <n v="9.8000000000000007"/>
        <n v="3.67"/>
        <n v="0.82"/>
        <n v="2.75"/>
        <n v="4.45"/>
        <n v="6.46"/>
        <n v="3.12"/>
        <n v="2.67"/>
        <n v="9.67"/>
        <n v="3.93"/>
        <n v="2.72"/>
        <n v="12.64"/>
        <n v="1.97"/>
        <n v="3.09"/>
        <n v="10.64"/>
        <n v="10.4"/>
        <n v="0.47"/>
        <n v="3.31"/>
        <n v="2.13"/>
        <n v="1.42"/>
        <n v="2.36"/>
        <n v="4.79"/>
        <n v="3.27"/>
        <n v="2.27"/>
        <n v="3.78"/>
        <n v="8.02"/>
        <n v="9.7899999999999991"/>
        <n v="3.5"/>
        <n v="14.35"/>
        <n v="6.33"/>
        <n v="5.0599999999999996"/>
        <n v="7.62"/>
        <n v="4.4400000000000004"/>
        <n v="2.54"/>
        <n v="3.49"/>
        <n v="0.95"/>
        <n v="1.32"/>
        <n v="7.89"/>
        <n v="0.88"/>
        <n v="2.19"/>
        <n v="3.95"/>
        <n v="15.12"/>
        <n v="4.6500000000000004"/>
        <n v="2.33"/>
        <n v="6.28"/>
        <n v="2.9"/>
        <n v="14.74"/>
        <n v="4.21"/>
        <n v="3.16"/>
        <n v="5.42"/>
        <n v="4.17"/>
        <n v="3.75"/>
        <n v="3.33"/>
        <n v="15.67"/>
        <n v="3.73"/>
        <n v="4.4800000000000004"/>
        <n v="2.99"/>
        <n v="18"/>
        <n v="4"/>
        <n v="19.75"/>
        <n v="1.23"/>
        <n v="7.41"/>
        <n v="6.79"/>
        <n v="18.579999999999998"/>
        <n v="5.31"/>
      </sharedItems>
    </cacheField>
    <cacheField name="総数（法人以外の団体）" numFmtId="0" sqlType="3">
      <sharedItems containsSemiMixedTypes="0" containsString="0" containsNumber="1" containsInteger="1" minValue="0" maxValue="18" count="10">
        <n v="0"/>
        <n v="2"/>
        <n v="6"/>
        <n v="3"/>
        <n v="18"/>
        <n v="1"/>
        <n v="9"/>
        <n v="10"/>
        <n v="7"/>
        <n v="4"/>
      </sharedItems>
    </cacheField>
    <cacheField name="構成比（法人以外の団体）" numFmtId="0" sqlType="3">
      <sharedItems containsString="0" containsBlank="1" containsNumber="1" minValue="0" maxValue="100" count="29">
        <n v="0"/>
        <n v="0.79"/>
        <n v="2.37"/>
        <n v="1.19"/>
        <n v="7.11"/>
        <n v="0.4"/>
        <n v="3.56"/>
        <n v="1.47"/>
        <n v="14.71"/>
        <n v="10.29"/>
        <n v="21.43"/>
        <n v="7.14"/>
        <n v="25"/>
        <n v="20"/>
        <n v="33.33"/>
        <n v="4"/>
        <n v="16"/>
        <n v="14.29"/>
        <n v="4.76"/>
        <n v="10"/>
        <n v="12.5"/>
        <n v="8.33"/>
        <n v="16.670000000000002"/>
        <n v="50"/>
        <n v="5.88"/>
        <n v="66.67"/>
        <m/>
        <n v="22.22"/>
        <n v="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5">
  <r>
    <s v="ti.28000"/>
    <x v="0"/>
    <x v="0"/>
    <x v="0"/>
    <s v="兵庫県"/>
    <x v="0"/>
    <x v="0"/>
    <x v="0"/>
    <x v="0"/>
    <x v="0"/>
    <n v="10"/>
    <n v="0.01"/>
    <n v="1"/>
    <n v="0"/>
    <n v="9"/>
    <n v="0.02"/>
    <x v="0"/>
    <n v="0"/>
  </r>
  <r>
    <s v="ti.28000"/>
    <x v="0"/>
    <x v="0"/>
    <x v="0"/>
    <s v="兵庫県"/>
    <x v="0"/>
    <x v="1"/>
    <x v="1"/>
    <x v="1"/>
    <x v="1"/>
    <n v="14083"/>
    <n v="11.38"/>
    <n v="5311"/>
    <n v="7.19"/>
    <n v="8770"/>
    <n v="17.649999999999999"/>
    <x v="1"/>
    <n v="0.79"/>
  </r>
  <r>
    <s v="ti.28000"/>
    <x v="0"/>
    <x v="0"/>
    <x v="0"/>
    <s v="兵庫県"/>
    <x v="0"/>
    <x v="2"/>
    <x v="2"/>
    <x v="2"/>
    <x v="2"/>
    <n v="11888"/>
    <n v="9.61"/>
    <n v="6000"/>
    <n v="8.1300000000000008"/>
    <n v="5876"/>
    <n v="11.83"/>
    <x v="2"/>
    <n v="4.74"/>
  </r>
  <r>
    <s v="ti.28000"/>
    <x v="0"/>
    <x v="0"/>
    <x v="0"/>
    <s v="兵庫県"/>
    <x v="0"/>
    <x v="3"/>
    <x v="3"/>
    <x v="3"/>
    <x v="3"/>
    <n v="34"/>
    <n v="0.03"/>
    <n v="1"/>
    <n v="0"/>
    <n v="33"/>
    <n v="7.0000000000000007E-2"/>
    <x v="0"/>
    <n v="0"/>
  </r>
  <r>
    <s v="ti.28000"/>
    <x v="0"/>
    <x v="0"/>
    <x v="0"/>
    <s v="兵庫県"/>
    <x v="0"/>
    <x v="4"/>
    <x v="4"/>
    <x v="4"/>
    <x v="4"/>
    <n v="847"/>
    <n v="0.68"/>
    <n v="80"/>
    <n v="0.11"/>
    <n v="764"/>
    <n v="1.54"/>
    <x v="3"/>
    <n v="1.19"/>
  </r>
  <r>
    <s v="ti.28000"/>
    <x v="0"/>
    <x v="0"/>
    <x v="0"/>
    <s v="兵庫県"/>
    <x v="0"/>
    <x v="5"/>
    <x v="5"/>
    <x v="5"/>
    <x v="5"/>
    <n v="1461"/>
    <n v="1.18"/>
    <n v="392"/>
    <n v="0.53"/>
    <n v="1058"/>
    <n v="2.13"/>
    <x v="4"/>
    <n v="4.3499999999999996"/>
  </r>
  <r>
    <s v="ti.28000"/>
    <x v="0"/>
    <x v="0"/>
    <x v="0"/>
    <s v="兵庫県"/>
    <x v="0"/>
    <x v="6"/>
    <x v="6"/>
    <x v="6"/>
    <x v="6"/>
    <n v="30921"/>
    <n v="24.99"/>
    <n v="16789"/>
    <n v="22.74"/>
    <n v="14090"/>
    <n v="28.36"/>
    <x v="5"/>
    <n v="16.600000000000001"/>
  </r>
  <r>
    <s v="ti.28000"/>
    <x v="0"/>
    <x v="0"/>
    <x v="0"/>
    <s v="兵庫県"/>
    <x v="0"/>
    <x v="7"/>
    <x v="7"/>
    <x v="7"/>
    <x v="7"/>
    <n v="732"/>
    <n v="0.59"/>
    <n v="168"/>
    <n v="0.23"/>
    <n v="563"/>
    <n v="1.1299999999999999"/>
    <x v="6"/>
    <n v="0.4"/>
  </r>
  <r>
    <s v="ti.28000"/>
    <x v="0"/>
    <x v="0"/>
    <x v="0"/>
    <s v="兵庫県"/>
    <x v="0"/>
    <x v="8"/>
    <x v="8"/>
    <x v="8"/>
    <x v="8"/>
    <n v="11102"/>
    <n v="8.9700000000000006"/>
    <n v="4412"/>
    <n v="5.98"/>
    <n v="6666"/>
    <n v="13.42"/>
    <x v="7"/>
    <n v="9.49"/>
  </r>
  <r>
    <s v="ti.28000"/>
    <x v="0"/>
    <x v="0"/>
    <x v="0"/>
    <s v="兵庫県"/>
    <x v="0"/>
    <x v="9"/>
    <x v="9"/>
    <x v="9"/>
    <x v="9"/>
    <n v="5765"/>
    <n v="4.66"/>
    <n v="3609"/>
    <n v="4.8899999999999997"/>
    <n v="2151"/>
    <n v="4.33"/>
    <x v="8"/>
    <n v="1.98"/>
  </r>
  <r>
    <s v="ti.28000"/>
    <x v="0"/>
    <x v="0"/>
    <x v="0"/>
    <s v="兵庫県"/>
    <x v="0"/>
    <x v="10"/>
    <x v="10"/>
    <x v="10"/>
    <x v="10"/>
    <n v="18817"/>
    <n v="15.21"/>
    <n v="16694"/>
    <n v="22.61"/>
    <n v="2109"/>
    <n v="4.25"/>
    <x v="9"/>
    <n v="5.53"/>
  </r>
  <r>
    <s v="ti.28000"/>
    <x v="0"/>
    <x v="0"/>
    <x v="0"/>
    <s v="兵庫県"/>
    <x v="0"/>
    <x v="11"/>
    <x v="11"/>
    <x v="11"/>
    <x v="11"/>
    <n v="14239"/>
    <n v="11.51"/>
    <n v="11284"/>
    <n v="15.29"/>
    <n v="2940"/>
    <n v="5.92"/>
    <x v="10"/>
    <n v="5.93"/>
  </r>
  <r>
    <s v="ti.28000"/>
    <x v="0"/>
    <x v="0"/>
    <x v="0"/>
    <s v="兵庫県"/>
    <x v="0"/>
    <x v="12"/>
    <x v="12"/>
    <x v="12"/>
    <x v="12"/>
    <n v="5015"/>
    <n v="4.05"/>
    <n v="3835"/>
    <n v="5.2"/>
    <n v="1144"/>
    <n v="2.2999999999999998"/>
    <x v="11"/>
    <n v="14.23"/>
  </r>
  <r>
    <s v="ti.28000"/>
    <x v="0"/>
    <x v="0"/>
    <x v="0"/>
    <s v="兵庫県"/>
    <x v="0"/>
    <x v="13"/>
    <x v="13"/>
    <x v="13"/>
    <x v="13"/>
    <n v="5332"/>
    <n v="4.3099999999999996"/>
    <n v="3709"/>
    <n v="5.0199999999999996"/>
    <n v="1605"/>
    <n v="3.23"/>
    <x v="12"/>
    <n v="7.11"/>
  </r>
  <r>
    <s v="ti.28000"/>
    <x v="0"/>
    <x v="0"/>
    <x v="0"/>
    <s v="兵庫県"/>
    <x v="0"/>
    <x v="14"/>
    <x v="14"/>
    <x v="14"/>
    <x v="14"/>
    <n v="3506"/>
    <n v="2.83"/>
    <n v="1535"/>
    <n v="2.08"/>
    <n v="1901"/>
    <n v="3.83"/>
    <x v="13"/>
    <n v="27.67"/>
  </r>
  <r>
    <s v="ti.28100"/>
    <x v="0"/>
    <x v="0"/>
    <x v="1"/>
    <s v="神戸市"/>
    <x v="1"/>
    <x v="0"/>
    <x v="0"/>
    <x v="0"/>
    <x v="0"/>
    <n v="0"/>
    <n v="0"/>
    <n v="0"/>
    <n v="0"/>
    <n v="0"/>
    <n v="0"/>
    <x v="0"/>
    <n v="0"/>
  </r>
  <r>
    <s v="ti.28100"/>
    <x v="0"/>
    <x v="0"/>
    <x v="1"/>
    <s v="神戸市"/>
    <x v="1"/>
    <x v="1"/>
    <x v="1"/>
    <x v="1"/>
    <x v="1"/>
    <n v="3007"/>
    <n v="8.0500000000000007"/>
    <n v="715"/>
    <n v="3.47"/>
    <n v="2290"/>
    <n v="13.74"/>
    <x v="1"/>
    <n v="2.94"/>
  </r>
  <r>
    <s v="ti.28100"/>
    <x v="0"/>
    <x v="0"/>
    <x v="1"/>
    <s v="神戸市"/>
    <x v="1"/>
    <x v="2"/>
    <x v="2"/>
    <x v="2"/>
    <x v="2"/>
    <n v="2644"/>
    <n v="7.08"/>
    <n v="1175"/>
    <n v="5.7"/>
    <n v="1467"/>
    <n v="8.8000000000000007"/>
    <x v="1"/>
    <n v="2.94"/>
  </r>
  <r>
    <s v="ti.28100"/>
    <x v="0"/>
    <x v="0"/>
    <x v="1"/>
    <s v="神戸市"/>
    <x v="1"/>
    <x v="3"/>
    <x v="3"/>
    <x v="3"/>
    <x v="3"/>
    <n v="12"/>
    <n v="0.03"/>
    <n v="0"/>
    <n v="0"/>
    <n v="12"/>
    <n v="7.0000000000000007E-2"/>
    <x v="0"/>
    <n v="0"/>
  </r>
  <r>
    <s v="ti.28100"/>
    <x v="0"/>
    <x v="0"/>
    <x v="1"/>
    <s v="神戸市"/>
    <x v="1"/>
    <x v="4"/>
    <x v="4"/>
    <x v="4"/>
    <x v="4"/>
    <n v="386"/>
    <n v="1.03"/>
    <n v="33"/>
    <n v="0.16"/>
    <n v="351"/>
    <n v="2.11"/>
    <x v="1"/>
    <n v="2.94"/>
  </r>
  <r>
    <s v="ti.28100"/>
    <x v="0"/>
    <x v="0"/>
    <x v="1"/>
    <s v="神戸市"/>
    <x v="1"/>
    <x v="5"/>
    <x v="5"/>
    <x v="5"/>
    <x v="5"/>
    <n v="657"/>
    <n v="1.76"/>
    <n v="195"/>
    <n v="0.95"/>
    <n v="462"/>
    <n v="2.77"/>
    <x v="0"/>
    <n v="0"/>
  </r>
  <r>
    <s v="ti.28100"/>
    <x v="0"/>
    <x v="0"/>
    <x v="1"/>
    <s v="神戸市"/>
    <x v="1"/>
    <x v="6"/>
    <x v="6"/>
    <x v="6"/>
    <x v="6"/>
    <n v="9364"/>
    <n v="25.06"/>
    <n v="4346"/>
    <n v="21.07"/>
    <n v="5011"/>
    <n v="30.07"/>
    <x v="14"/>
    <n v="10.29"/>
  </r>
  <r>
    <s v="ti.28100"/>
    <x v="0"/>
    <x v="0"/>
    <x v="1"/>
    <s v="神戸市"/>
    <x v="1"/>
    <x v="7"/>
    <x v="7"/>
    <x v="7"/>
    <x v="7"/>
    <n v="200"/>
    <n v="0.54"/>
    <n v="26"/>
    <n v="0.13"/>
    <n v="174"/>
    <n v="1.04"/>
    <x v="0"/>
    <n v="0"/>
  </r>
  <r>
    <s v="ti.28100"/>
    <x v="0"/>
    <x v="0"/>
    <x v="1"/>
    <s v="神戸市"/>
    <x v="1"/>
    <x v="8"/>
    <x v="8"/>
    <x v="8"/>
    <x v="8"/>
    <n v="3825"/>
    <n v="10.24"/>
    <n v="1313"/>
    <n v="6.36"/>
    <n v="2502"/>
    <n v="15.01"/>
    <x v="15"/>
    <n v="14.71"/>
  </r>
  <r>
    <s v="ti.28100"/>
    <x v="0"/>
    <x v="0"/>
    <x v="1"/>
    <s v="神戸市"/>
    <x v="1"/>
    <x v="9"/>
    <x v="9"/>
    <x v="9"/>
    <x v="9"/>
    <n v="2239"/>
    <n v="5.99"/>
    <n v="1327"/>
    <n v="6.43"/>
    <n v="907"/>
    <n v="5.44"/>
    <x v="8"/>
    <n v="7.35"/>
  </r>
  <r>
    <s v="ti.28100"/>
    <x v="0"/>
    <x v="0"/>
    <x v="1"/>
    <s v="神戸市"/>
    <x v="1"/>
    <x v="10"/>
    <x v="10"/>
    <x v="10"/>
    <x v="10"/>
    <n v="6842"/>
    <n v="18.309999999999999"/>
    <n v="6047"/>
    <n v="29.31"/>
    <n v="795"/>
    <n v="4.7699999999999996"/>
    <x v="0"/>
    <n v="0"/>
  </r>
  <r>
    <s v="ti.28100"/>
    <x v="0"/>
    <x v="0"/>
    <x v="1"/>
    <s v="神戸市"/>
    <x v="1"/>
    <x v="11"/>
    <x v="11"/>
    <x v="11"/>
    <x v="11"/>
    <n v="3913"/>
    <n v="10.47"/>
    <n v="2904"/>
    <n v="14.08"/>
    <n v="1005"/>
    <n v="6.03"/>
    <x v="16"/>
    <n v="5.88"/>
  </r>
  <r>
    <s v="ti.28100"/>
    <x v="0"/>
    <x v="0"/>
    <x v="1"/>
    <s v="神戸市"/>
    <x v="1"/>
    <x v="12"/>
    <x v="12"/>
    <x v="12"/>
    <x v="12"/>
    <n v="1390"/>
    <n v="3.72"/>
    <n v="1002"/>
    <n v="4.8600000000000003"/>
    <n v="373"/>
    <n v="2.2400000000000002"/>
    <x v="10"/>
    <n v="22.06"/>
  </r>
  <r>
    <s v="ti.28100"/>
    <x v="0"/>
    <x v="0"/>
    <x v="1"/>
    <s v="神戸市"/>
    <x v="1"/>
    <x v="13"/>
    <x v="13"/>
    <x v="13"/>
    <x v="13"/>
    <n v="1773"/>
    <n v="4.75"/>
    <n v="1147"/>
    <n v="5.56"/>
    <n v="617"/>
    <n v="3.7"/>
    <x v="17"/>
    <n v="13.24"/>
  </r>
  <r>
    <s v="ti.28100"/>
    <x v="0"/>
    <x v="0"/>
    <x v="1"/>
    <s v="神戸市"/>
    <x v="1"/>
    <x v="14"/>
    <x v="14"/>
    <x v="14"/>
    <x v="14"/>
    <n v="1111"/>
    <n v="2.97"/>
    <n v="400"/>
    <n v="1.94"/>
    <n v="699"/>
    <n v="4.1900000000000004"/>
    <x v="2"/>
    <n v="17.649999999999999"/>
  </r>
  <r>
    <s v="ti.28101"/>
    <x v="0"/>
    <x v="0"/>
    <x v="2"/>
    <s v="神戸市東灘区"/>
    <x v="2"/>
    <x v="0"/>
    <x v="0"/>
    <x v="0"/>
    <x v="0"/>
    <n v="0"/>
    <n v="0"/>
    <n v="0"/>
    <n v="0"/>
    <n v="0"/>
    <n v="0"/>
    <x v="0"/>
    <n v="0"/>
  </r>
  <r>
    <s v="ti.28101"/>
    <x v="0"/>
    <x v="0"/>
    <x v="2"/>
    <s v="神戸市東灘区"/>
    <x v="2"/>
    <x v="1"/>
    <x v="1"/>
    <x v="1"/>
    <x v="1"/>
    <n v="308"/>
    <n v="7.79"/>
    <n v="63"/>
    <n v="3.37"/>
    <n v="244"/>
    <n v="11.79"/>
    <x v="6"/>
    <n v="7.14"/>
  </r>
  <r>
    <s v="ti.28101"/>
    <x v="0"/>
    <x v="0"/>
    <x v="2"/>
    <s v="神戸市東灘区"/>
    <x v="2"/>
    <x v="2"/>
    <x v="2"/>
    <x v="2"/>
    <x v="2"/>
    <n v="173"/>
    <n v="4.38"/>
    <n v="43"/>
    <n v="2.2999999999999998"/>
    <n v="130"/>
    <n v="6.28"/>
    <x v="0"/>
    <n v="0"/>
  </r>
  <r>
    <s v="ti.28101"/>
    <x v="0"/>
    <x v="0"/>
    <x v="2"/>
    <s v="神戸市東灘区"/>
    <x v="2"/>
    <x v="3"/>
    <x v="3"/>
    <x v="3"/>
    <x v="3"/>
    <n v="2"/>
    <n v="0.05"/>
    <n v="0"/>
    <n v="0"/>
    <n v="2"/>
    <n v="0.1"/>
    <x v="0"/>
    <n v="0"/>
  </r>
  <r>
    <s v="ti.28101"/>
    <x v="0"/>
    <x v="0"/>
    <x v="2"/>
    <s v="神戸市東灘区"/>
    <x v="2"/>
    <x v="4"/>
    <x v="4"/>
    <x v="4"/>
    <x v="4"/>
    <n v="50"/>
    <n v="1.27"/>
    <n v="0"/>
    <n v="0"/>
    <n v="49"/>
    <n v="2.37"/>
    <x v="6"/>
    <n v="7.14"/>
  </r>
  <r>
    <s v="ti.28101"/>
    <x v="0"/>
    <x v="0"/>
    <x v="2"/>
    <s v="神戸市東灘区"/>
    <x v="2"/>
    <x v="5"/>
    <x v="5"/>
    <x v="5"/>
    <x v="5"/>
    <n v="122"/>
    <n v="3.09"/>
    <n v="11"/>
    <n v="0.59"/>
    <n v="111"/>
    <n v="5.36"/>
    <x v="0"/>
    <n v="0"/>
  </r>
  <r>
    <s v="ti.28101"/>
    <x v="0"/>
    <x v="0"/>
    <x v="2"/>
    <s v="神戸市東灘区"/>
    <x v="2"/>
    <x v="6"/>
    <x v="6"/>
    <x v="6"/>
    <x v="6"/>
    <n v="955"/>
    <n v="24.16"/>
    <n v="428"/>
    <n v="22.9"/>
    <n v="524"/>
    <n v="25.33"/>
    <x v="3"/>
    <n v="21.43"/>
  </r>
  <r>
    <s v="ti.28101"/>
    <x v="0"/>
    <x v="0"/>
    <x v="2"/>
    <s v="神戸市東灘区"/>
    <x v="2"/>
    <x v="7"/>
    <x v="7"/>
    <x v="7"/>
    <x v="7"/>
    <n v="14"/>
    <n v="0.35"/>
    <n v="2"/>
    <n v="0.11"/>
    <n v="12"/>
    <n v="0.57999999999999996"/>
    <x v="0"/>
    <n v="0"/>
  </r>
  <r>
    <s v="ti.28101"/>
    <x v="0"/>
    <x v="0"/>
    <x v="2"/>
    <s v="神戸市東灘区"/>
    <x v="2"/>
    <x v="8"/>
    <x v="8"/>
    <x v="8"/>
    <x v="8"/>
    <n v="434"/>
    <n v="10.98"/>
    <n v="88"/>
    <n v="4.71"/>
    <n v="346"/>
    <n v="16.72"/>
    <x v="0"/>
    <n v="0"/>
  </r>
  <r>
    <s v="ti.28101"/>
    <x v="0"/>
    <x v="0"/>
    <x v="2"/>
    <s v="神戸市東灘区"/>
    <x v="2"/>
    <x v="9"/>
    <x v="9"/>
    <x v="9"/>
    <x v="9"/>
    <n v="234"/>
    <n v="5.92"/>
    <n v="103"/>
    <n v="5.51"/>
    <n v="131"/>
    <n v="6.33"/>
    <x v="0"/>
    <n v="0"/>
  </r>
  <r>
    <s v="ti.28101"/>
    <x v="0"/>
    <x v="0"/>
    <x v="2"/>
    <s v="神戸市東灘区"/>
    <x v="2"/>
    <x v="10"/>
    <x v="10"/>
    <x v="10"/>
    <x v="10"/>
    <n v="538"/>
    <n v="13.61"/>
    <n v="432"/>
    <n v="23.11"/>
    <n v="106"/>
    <n v="5.12"/>
    <x v="0"/>
    <n v="0"/>
  </r>
  <r>
    <s v="ti.28101"/>
    <x v="0"/>
    <x v="0"/>
    <x v="2"/>
    <s v="神戸市東灘区"/>
    <x v="2"/>
    <x v="11"/>
    <x v="11"/>
    <x v="11"/>
    <x v="11"/>
    <n v="507"/>
    <n v="12.83"/>
    <n v="351"/>
    <n v="18.78"/>
    <n v="156"/>
    <n v="7.54"/>
    <x v="0"/>
    <n v="0"/>
  </r>
  <r>
    <s v="ti.28101"/>
    <x v="0"/>
    <x v="0"/>
    <x v="2"/>
    <s v="神戸市東灘区"/>
    <x v="2"/>
    <x v="12"/>
    <x v="12"/>
    <x v="12"/>
    <x v="12"/>
    <n v="232"/>
    <n v="5.87"/>
    <n v="144"/>
    <n v="7.7"/>
    <n v="83"/>
    <n v="4.01"/>
    <x v="8"/>
    <n v="35.71"/>
  </r>
  <r>
    <s v="ti.28101"/>
    <x v="0"/>
    <x v="0"/>
    <x v="2"/>
    <s v="神戸市東灘区"/>
    <x v="2"/>
    <x v="13"/>
    <x v="13"/>
    <x v="13"/>
    <x v="13"/>
    <n v="241"/>
    <n v="6.1"/>
    <n v="161"/>
    <n v="8.61"/>
    <n v="79"/>
    <n v="3.82"/>
    <x v="6"/>
    <n v="7.14"/>
  </r>
  <r>
    <s v="ti.28101"/>
    <x v="0"/>
    <x v="0"/>
    <x v="2"/>
    <s v="神戸市東灘区"/>
    <x v="2"/>
    <x v="14"/>
    <x v="14"/>
    <x v="14"/>
    <x v="14"/>
    <n v="142"/>
    <n v="3.59"/>
    <n v="43"/>
    <n v="2.2999999999999998"/>
    <n v="96"/>
    <n v="4.6399999999999997"/>
    <x v="3"/>
    <n v="21.43"/>
  </r>
  <r>
    <s v="ti.28102"/>
    <x v="0"/>
    <x v="0"/>
    <x v="2"/>
    <s v="神戸市灘区"/>
    <x v="3"/>
    <x v="0"/>
    <x v="0"/>
    <x v="0"/>
    <x v="0"/>
    <n v="0"/>
    <n v="0"/>
    <n v="0"/>
    <n v="0"/>
    <n v="0"/>
    <n v="0"/>
    <x v="0"/>
    <n v="0"/>
  </r>
  <r>
    <s v="ti.28102"/>
    <x v="0"/>
    <x v="0"/>
    <x v="2"/>
    <s v="神戸市灘区"/>
    <x v="3"/>
    <x v="1"/>
    <x v="1"/>
    <x v="1"/>
    <x v="1"/>
    <n v="295"/>
    <n v="9.09"/>
    <n v="66"/>
    <n v="3.43"/>
    <n v="229"/>
    <n v="17.36"/>
    <x v="0"/>
    <n v="0"/>
  </r>
  <r>
    <s v="ti.28102"/>
    <x v="0"/>
    <x v="0"/>
    <x v="2"/>
    <s v="神戸市灘区"/>
    <x v="3"/>
    <x v="2"/>
    <x v="2"/>
    <x v="2"/>
    <x v="2"/>
    <n v="117"/>
    <n v="3.61"/>
    <n v="43"/>
    <n v="2.23"/>
    <n v="74"/>
    <n v="5.61"/>
    <x v="0"/>
    <n v="0"/>
  </r>
  <r>
    <s v="ti.28102"/>
    <x v="0"/>
    <x v="0"/>
    <x v="2"/>
    <s v="神戸市灘区"/>
    <x v="3"/>
    <x v="3"/>
    <x v="3"/>
    <x v="3"/>
    <x v="3"/>
    <n v="1"/>
    <n v="0.03"/>
    <n v="0"/>
    <n v="0"/>
    <n v="1"/>
    <n v="0.08"/>
    <x v="0"/>
    <n v="0"/>
  </r>
  <r>
    <s v="ti.28102"/>
    <x v="0"/>
    <x v="0"/>
    <x v="2"/>
    <s v="神戸市灘区"/>
    <x v="3"/>
    <x v="4"/>
    <x v="4"/>
    <x v="4"/>
    <x v="4"/>
    <n v="27"/>
    <n v="0.83"/>
    <n v="2"/>
    <n v="0.1"/>
    <n v="25"/>
    <n v="1.9"/>
    <x v="0"/>
    <n v="0"/>
  </r>
  <r>
    <s v="ti.28102"/>
    <x v="0"/>
    <x v="0"/>
    <x v="2"/>
    <s v="神戸市灘区"/>
    <x v="3"/>
    <x v="5"/>
    <x v="5"/>
    <x v="5"/>
    <x v="5"/>
    <n v="44"/>
    <n v="1.36"/>
    <n v="13"/>
    <n v="0.68"/>
    <n v="31"/>
    <n v="2.35"/>
    <x v="0"/>
    <n v="0"/>
  </r>
  <r>
    <s v="ti.28102"/>
    <x v="0"/>
    <x v="0"/>
    <x v="2"/>
    <s v="神戸市灘区"/>
    <x v="3"/>
    <x v="6"/>
    <x v="6"/>
    <x v="6"/>
    <x v="6"/>
    <n v="837"/>
    <n v="25.79"/>
    <n v="483"/>
    <n v="25.09"/>
    <n v="354"/>
    <n v="26.84"/>
    <x v="0"/>
    <n v="0"/>
  </r>
  <r>
    <s v="ti.28102"/>
    <x v="0"/>
    <x v="0"/>
    <x v="2"/>
    <s v="神戸市灘区"/>
    <x v="3"/>
    <x v="7"/>
    <x v="7"/>
    <x v="7"/>
    <x v="7"/>
    <n v="13"/>
    <n v="0.4"/>
    <n v="5"/>
    <n v="0.26"/>
    <n v="8"/>
    <n v="0.61"/>
    <x v="0"/>
    <n v="0"/>
  </r>
  <r>
    <s v="ti.28102"/>
    <x v="0"/>
    <x v="0"/>
    <x v="2"/>
    <s v="神戸市灘区"/>
    <x v="3"/>
    <x v="8"/>
    <x v="8"/>
    <x v="8"/>
    <x v="8"/>
    <n v="365"/>
    <n v="11.25"/>
    <n v="125"/>
    <n v="6.49"/>
    <n v="240"/>
    <n v="18.2"/>
    <x v="0"/>
    <n v="0"/>
  </r>
  <r>
    <s v="ti.28102"/>
    <x v="0"/>
    <x v="0"/>
    <x v="2"/>
    <s v="神戸市灘区"/>
    <x v="3"/>
    <x v="9"/>
    <x v="9"/>
    <x v="9"/>
    <x v="9"/>
    <n v="138"/>
    <n v="4.25"/>
    <n v="88"/>
    <n v="4.57"/>
    <n v="49"/>
    <n v="3.71"/>
    <x v="6"/>
    <n v="100"/>
  </r>
  <r>
    <s v="ti.28102"/>
    <x v="0"/>
    <x v="0"/>
    <x v="2"/>
    <s v="神戸市灘区"/>
    <x v="3"/>
    <x v="10"/>
    <x v="10"/>
    <x v="10"/>
    <x v="10"/>
    <n v="582"/>
    <n v="17.940000000000001"/>
    <n v="519"/>
    <n v="26.96"/>
    <n v="63"/>
    <n v="4.78"/>
    <x v="0"/>
    <n v="0"/>
  </r>
  <r>
    <s v="ti.28102"/>
    <x v="0"/>
    <x v="0"/>
    <x v="2"/>
    <s v="神戸市灘区"/>
    <x v="3"/>
    <x v="11"/>
    <x v="11"/>
    <x v="11"/>
    <x v="11"/>
    <n v="385"/>
    <n v="11.86"/>
    <n v="308"/>
    <n v="16"/>
    <n v="77"/>
    <n v="5.84"/>
    <x v="0"/>
    <n v="0"/>
  </r>
  <r>
    <s v="ti.28102"/>
    <x v="0"/>
    <x v="0"/>
    <x v="2"/>
    <s v="神戸市灘区"/>
    <x v="3"/>
    <x v="12"/>
    <x v="12"/>
    <x v="12"/>
    <x v="12"/>
    <n v="131"/>
    <n v="4.04"/>
    <n v="90"/>
    <n v="4.68"/>
    <n v="41"/>
    <n v="3.11"/>
    <x v="0"/>
    <n v="0"/>
  </r>
  <r>
    <s v="ti.28102"/>
    <x v="0"/>
    <x v="0"/>
    <x v="2"/>
    <s v="神戸市灘区"/>
    <x v="3"/>
    <x v="13"/>
    <x v="13"/>
    <x v="13"/>
    <x v="13"/>
    <n v="212"/>
    <n v="6.53"/>
    <n v="142"/>
    <n v="7.38"/>
    <n v="70"/>
    <n v="5.31"/>
    <x v="0"/>
    <n v="0"/>
  </r>
  <r>
    <s v="ti.28102"/>
    <x v="0"/>
    <x v="0"/>
    <x v="2"/>
    <s v="神戸市灘区"/>
    <x v="3"/>
    <x v="14"/>
    <x v="14"/>
    <x v="14"/>
    <x v="14"/>
    <n v="98"/>
    <n v="3.02"/>
    <n v="41"/>
    <n v="2.13"/>
    <n v="57"/>
    <n v="4.32"/>
    <x v="0"/>
    <n v="0"/>
  </r>
  <r>
    <s v="ti.28105"/>
    <x v="0"/>
    <x v="0"/>
    <x v="2"/>
    <s v="神戸市兵庫区"/>
    <x v="4"/>
    <x v="0"/>
    <x v="0"/>
    <x v="0"/>
    <x v="0"/>
    <n v="0"/>
    <n v="0"/>
    <n v="0"/>
    <n v="0"/>
    <n v="0"/>
    <n v="0"/>
    <x v="0"/>
    <n v="0"/>
  </r>
  <r>
    <s v="ti.28105"/>
    <x v="0"/>
    <x v="0"/>
    <x v="2"/>
    <s v="神戸市兵庫区"/>
    <x v="4"/>
    <x v="1"/>
    <x v="1"/>
    <x v="1"/>
    <x v="1"/>
    <n v="357"/>
    <n v="8.31"/>
    <n v="92"/>
    <n v="3.42"/>
    <n v="265"/>
    <n v="16.53"/>
    <x v="0"/>
    <n v="0"/>
  </r>
  <r>
    <s v="ti.28105"/>
    <x v="0"/>
    <x v="0"/>
    <x v="2"/>
    <s v="神戸市兵庫区"/>
    <x v="4"/>
    <x v="2"/>
    <x v="2"/>
    <x v="2"/>
    <x v="2"/>
    <n v="430"/>
    <n v="10.01"/>
    <n v="172"/>
    <n v="6.4"/>
    <n v="258"/>
    <n v="16.09"/>
    <x v="0"/>
    <n v="0"/>
  </r>
  <r>
    <s v="ti.28105"/>
    <x v="0"/>
    <x v="0"/>
    <x v="2"/>
    <s v="神戸市兵庫区"/>
    <x v="4"/>
    <x v="3"/>
    <x v="3"/>
    <x v="3"/>
    <x v="3"/>
    <n v="0"/>
    <n v="0"/>
    <n v="0"/>
    <n v="0"/>
    <n v="0"/>
    <n v="0"/>
    <x v="0"/>
    <n v="0"/>
  </r>
  <r>
    <s v="ti.28105"/>
    <x v="0"/>
    <x v="0"/>
    <x v="2"/>
    <s v="神戸市兵庫区"/>
    <x v="4"/>
    <x v="4"/>
    <x v="4"/>
    <x v="4"/>
    <x v="4"/>
    <n v="22"/>
    <n v="0.51"/>
    <n v="3"/>
    <n v="0.11"/>
    <n v="19"/>
    <n v="1.19"/>
    <x v="0"/>
    <n v="0"/>
  </r>
  <r>
    <s v="ti.28105"/>
    <x v="0"/>
    <x v="0"/>
    <x v="2"/>
    <s v="神戸市兵庫区"/>
    <x v="4"/>
    <x v="5"/>
    <x v="5"/>
    <x v="5"/>
    <x v="5"/>
    <n v="44"/>
    <n v="1.02"/>
    <n v="13"/>
    <n v="0.48"/>
    <n v="31"/>
    <n v="1.93"/>
    <x v="0"/>
    <n v="0"/>
  </r>
  <r>
    <s v="ti.28105"/>
    <x v="0"/>
    <x v="0"/>
    <x v="2"/>
    <s v="神戸市兵庫区"/>
    <x v="4"/>
    <x v="6"/>
    <x v="6"/>
    <x v="6"/>
    <x v="6"/>
    <n v="1200"/>
    <n v="27.93"/>
    <n v="708"/>
    <n v="26.35"/>
    <n v="492"/>
    <n v="30.69"/>
    <x v="0"/>
    <n v="0"/>
  </r>
  <r>
    <s v="ti.28105"/>
    <x v="0"/>
    <x v="0"/>
    <x v="2"/>
    <s v="神戸市兵庫区"/>
    <x v="4"/>
    <x v="7"/>
    <x v="7"/>
    <x v="7"/>
    <x v="7"/>
    <n v="16"/>
    <n v="0.37"/>
    <n v="3"/>
    <n v="0.11"/>
    <n v="13"/>
    <n v="0.81"/>
    <x v="0"/>
    <n v="0"/>
  </r>
  <r>
    <s v="ti.28105"/>
    <x v="0"/>
    <x v="0"/>
    <x v="2"/>
    <s v="神戸市兵庫区"/>
    <x v="4"/>
    <x v="8"/>
    <x v="8"/>
    <x v="8"/>
    <x v="8"/>
    <n v="450"/>
    <n v="10.47"/>
    <n v="221"/>
    <n v="8.2200000000000006"/>
    <n v="228"/>
    <n v="14.22"/>
    <x v="6"/>
    <n v="16.670000000000002"/>
  </r>
  <r>
    <s v="ti.28105"/>
    <x v="0"/>
    <x v="0"/>
    <x v="2"/>
    <s v="神戸市兵庫区"/>
    <x v="4"/>
    <x v="9"/>
    <x v="9"/>
    <x v="9"/>
    <x v="9"/>
    <n v="155"/>
    <n v="3.61"/>
    <n v="94"/>
    <n v="3.5"/>
    <n v="61"/>
    <n v="3.81"/>
    <x v="0"/>
    <n v="0"/>
  </r>
  <r>
    <s v="ti.28105"/>
    <x v="0"/>
    <x v="0"/>
    <x v="2"/>
    <s v="神戸市兵庫区"/>
    <x v="4"/>
    <x v="10"/>
    <x v="10"/>
    <x v="10"/>
    <x v="10"/>
    <n v="885"/>
    <n v="20.6"/>
    <n v="828"/>
    <n v="30.82"/>
    <n v="57"/>
    <n v="3.56"/>
    <x v="0"/>
    <n v="0"/>
  </r>
  <r>
    <s v="ti.28105"/>
    <x v="0"/>
    <x v="0"/>
    <x v="2"/>
    <s v="神戸市兵庫区"/>
    <x v="4"/>
    <x v="11"/>
    <x v="11"/>
    <x v="11"/>
    <x v="11"/>
    <n v="402"/>
    <n v="9.36"/>
    <n v="324"/>
    <n v="12.06"/>
    <n v="77"/>
    <n v="4.8"/>
    <x v="6"/>
    <n v="16.670000000000002"/>
  </r>
  <r>
    <s v="ti.28105"/>
    <x v="0"/>
    <x v="0"/>
    <x v="2"/>
    <s v="神戸市兵庫区"/>
    <x v="4"/>
    <x v="12"/>
    <x v="12"/>
    <x v="12"/>
    <x v="12"/>
    <n v="77"/>
    <n v="1.79"/>
    <n v="65"/>
    <n v="2.42"/>
    <n v="10"/>
    <n v="0.62"/>
    <x v="1"/>
    <n v="33.33"/>
  </r>
  <r>
    <s v="ti.28105"/>
    <x v="0"/>
    <x v="0"/>
    <x v="2"/>
    <s v="神戸市兵庫区"/>
    <x v="4"/>
    <x v="13"/>
    <x v="13"/>
    <x v="13"/>
    <x v="13"/>
    <n v="155"/>
    <n v="3.61"/>
    <n v="118"/>
    <n v="4.3899999999999997"/>
    <n v="37"/>
    <n v="2.31"/>
    <x v="0"/>
    <n v="0"/>
  </r>
  <r>
    <s v="ti.28105"/>
    <x v="0"/>
    <x v="0"/>
    <x v="2"/>
    <s v="神戸市兵庫区"/>
    <x v="4"/>
    <x v="14"/>
    <x v="14"/>
    <x v="14"/>
    <x v="14"/>
    <n v="103"/>
    <n v="2.4"/>
    <n v="46"/>
    <n v="1.71"/>
    <n v="55"/>
    <n v="3.43"/>
    <x v="1"/>
    <n v="33.33"/>
  </r>
  <r>
    <s v="ti.28106"/>
    <x v="0"/>
    <x v="0"/>
    <x v="2"/>
    <s v="神戸市長田区"/>
    <x v="5"/>
    <x v="0"/>
    <x v="0"/>
    <x v="0"/>
    <x v="0"/>
    <n v="0"/>
    <n v="0"/>
    <n v="0"/>
    <n v="0"/>
    <n v="0"/>
    <n v="0"/>
    <x v="0"/>
    <n v="0"/>
  </r>
  <r>
    <s v="ti.28106"/>
    <x v="0"/>
    <x v="0"/>
    <x v="2"/>
    <s v="神戸市長田区"/>
    <x v="5"/>
    <x v="1"/>
    <x v="1"/>
    <x v="1"/>
    <x v="1"/>
    <n v="265"/>
    <n v="7.15"/>
    <n v="95"/>
    <n v="3.86"/>
    <n v="170"/>
    <n v="13.71"/>
    <x v="0"/>
    <n v="0"/>
  </r>
  <r>
    <s v="ti.28106"/>
    <x v="0"/>
    <x v="0"/>
    <x v="2"/>
    <s v="神戸市長田区"/>
    <x v="5"/>
    <x v="2"/>
    <x v="2"/>
    <x v="2"/>
    <x v="2"/>
    <n v="807"/>
    <n v="21.78"/>
    <n v="521"/>
    <n v="21.16"/>
    <n v="286"/>
    <n v="23.06"/>
    <x v="0"/>
    <n v="0"/>
  </r>
  <r>
    <s v="ti.28106"/>
    <x v="0"/>
    <x v="0"/>
    <x v="2"/>
    <s v="神戸市長田区"/>
    <x v="5"/>
    <x v="3"/>
    <x v="3"/>
    <x v="3"/>
    <x v="3"/>
    <n v="2"/>
    <n v="0.05"/>
    <n v="0"/>
    <n v="0"/>
    <n v="2"/>
    <n v="0.16"/>
    <x v="0"/>
    <n v="0"/>
  </r>
  <r>
    <s v="ti.28106"/>
    <x v="0"/>
    <x v="0"/>
    <x v="2"/>
    <s v="神戸市長田区"/>
    <x v="5"/>
    <x v="4"/>
    <x v="4"/>
    <x v="4"/>
    <x v="4"/>
    <n v="9"/>
    <n v="0.24"/>
    <n v="3"/>
    <n v="0.12"/>
    <n v="6"/>
    <n v="0.48"/>
    <x v="0"/>
    <n v="0"/>
  </r>
  <r>
    <s v="ti.28106"/>
    <x v="0"/>
    <x v="0"/>
    <x v="2"/>
    <s v="神戸市長田区"/>
    <x v="5"/>
    <x v="5"/>
    <x v="5"/>
    <x v="5"/>
    <x v="5"/>
    <n v="40"/>
    <n v="1.08"/>
    <n v="20"/>
    <n v="0.81"/>
    <n v="20"/>
    <n v="1.61"/>
    <x v="0"/>
    <n v="0"/>
  </r>
  <r>
    <s v="ti.28106"/>
    <x v="0"/>
    <x v="0"/>
    <x v="2"/>
    <s v="神戸市長田区"/>
    <x v="5"/>
    <x v="6"/>
    <x v="6"/>
    <x v="6"/>
    <x v="6"/>
    <n v="888"/>
    <n v="23.96"/>
    <n v="511"/>
    <n v="20.76"/>
    <n v="377"/>
    <n v="30.4"/>
    <x v="0"/>
    <n v="0"/>
  </r>
  <r>
    <s v="ti.28106"/>
    <x v="0"/>
    <x v="0"/>
    <x v="2"/>
    <s v="神戸市長田区"/>
    <x v="5"/>
    <x v="7"/>
    <x v="7"/>
    <x v="7"/>
    <x v="7"/>
    <n v="7"/>
    <n v="0.19"/>
    <n v="0"/>
    <n v="0"/>
    <n v="7"/>
    <n v="0.56000000000000005"/>
    <x v="0"/>
    <n v="0"/>
  </r>
  <r>
    <s v="ti.28106"/>
    <x v="0"/>
    <x v="0"/>
    <x v="2"/>
    <s v="神戸市長田区"/>
    <x v="5"/>
    <x v="8"/>
    <x v="8"/>
    <x v="8"/>
    <x v="8"/>
    <n v="282"/>
    <n v="7.61"/>
    <n v="135"/>
    <n v="5.48"/>
    <n v="146"/>
    <n v="11.77"/>
    <x v="6"/>
    <n v="25"/>
  </r>
  <r>
    <s v="ti.28106"/>
    <x v="0"/>
    <x v="0"/>
    <x v="2"/>
    <s v="神戸市長田区"/>
    <x v="5"/>
    <x v="9"/>
    <x v="9"/>
    <x v="9"/>
    <x v="9"/>
    <n v="104"/>
    <n v="2.81"/>
    <n v="67"/>
    <n v="2.72"/>
    <n v="37"/>
    <n v="2.98"/>
    <x v="0"/>
    <n v="0"/>
  </r>
  <r>
    <s v="ti.28106"/>
    <x v="0"/>
    <x v="0"/>
    <x v="2"/>
    <s v="神戸市長田区"/>
    <x v="5"/>
    <x v="10"/>
    <x v="10"/>
    <x v="10"/>
    <x v="10"/>
    <n v="655"/>
    <n v="17.670000000000002"/>
    <n v="615"/>
    <n v="24.98"/>
    <n v="40"/>
    <n v="3.23"/>
    <x v="0"/>
    <n v="0"/>
  </r>
  <r>
    <s v="ti.28106"/>
    <x v="0"/>
    <x v="0"/>
    <x v="2"/>
    <s v="神戸市長田区"/>
    <x v="5"/>
    <x v="11"/>
    <x v="11"/>
    <x v="11"/>
    <x v="11"/>
    <n v="341"/>
    <n v="9.1999999999999993"/>
    <n v="296"/>
    <n v="12.02"/>
    <n v="44"/>
    <n v="3.55"/>
    <x v="6"/>
    <n v="25"/>
  </r>
  <r>
    <s v="ti.28106"/>
    <x v="0"/>
    <x v="0"/>
    <x v="2"/>
    <s v="神戸市長田区"/>
    <x v="5"/>
    <x v="12"/>
    <x v="12"/>
    <x v="12"/>
    <x v="12"/>
    <n v="63"/>
    <n v="1.7"/>
    <n v="53"/>
    <n v="2.15"/>
    <n v="9"/>
    <n v="0.73"/>
    <x v="6"/>
    <n v="25"/>
  </r>
  <r>
    <s v="ti.28106"/>
    <x v="0"/>
    <x v="0"/>
    <x v="2"/>
    <s v="神戸市長田区"/>
    <x v="5"/>
    <x v="13"/>
    <x v="13"/>
    <x v="13"/>
    <x v="13"/>
    <n v="155"/>
    <n v="4.18"/>
    <n v="103"/>
    <n v="4.18"/>
    <n v="52"/>
    <n v="4.1900000000000004"/>
    <x v="0"/>
    <n v="0"/>
  </r>
  <r>
    <s v="ti.28106"/>
    <x v="0"/>
    <x v="0"/>
    <x v="2"/>
    <s v="神戸市長田区"/>
    <x v="5"/>
    <x v="14"/>
    <x v="14"/>
    <x v="14"/>
    <x v="14"/>
    <n v="88"/>
    <n v="2.37"/>
    <n v="43"/>
    <n v="1.75"/>
    <n v="44"/>
    <n v="3.55"/>
    <x v="6"/>
    <n v="25"/>
  </r>
  <r>
    <s v="ti.28107"/>
    <x v="0"/>
    <x v="0"/>
    <x v="2"/>
    <s v="神戸市須磨区"/>
    <x v="6"/>
    <x v="0"/>
    <x v="0"/>
    <x v="0"/>
    <x v="0"/>
    <n v="0"/>
    <n v="0"/>
    <n v="0"/>
    <n v="0"/>
    <n v="0"/>
    <n v="0"/>
    <x v="0"/>
    <n v="0"/>
  </r>
  <r>
    <s v="ti.28107"/>
    <x v="0"/>
    <x v="0"/>
    <x v="2"/>
    <s v="神戸市須磨区"/>
    <x v="6"/>
    <x v="1"/>
    <x v="1"/>
    <x v="1"/>
    <x v="1"/>
    <n v="226"/>
    <n v="9.4600000000000009"/>
    <n v="66"/>
    <n v="4.88"/>
    <n v="160"/>
    <n v="15.52"/>
    <x v="0"/>
    <n v="0"/>
  </r>
  <r>
    <s v="ti.28107"/>
    <x v="0"/>
    <x v="0"/>
    <x v="2"/>
    <s v="神戸市須磨区"/>
    <x v="6"/>
    <x v="2"/>
    <x v="2"/>
    <x v="2"/>
    <x v="2"/>
    <n v="195"/>
    <n v="8.17"/>
    <n v="114"/>
    <n v="8.43"/>
    <n v="81"/>
    <n v="7.86"/>
    <x v="0"/>
    <n v="0"/>
  </r>
  <r>
    <s v="ti.28107"/>
    <x v="0"/>
    <x v="0"/>
    <x v="2"/>
    <s v="神戸市須磨区"/>
    <x v="6"/>
    <x v="3"/>
    <x v="3"/>
    <x v="3"/>
    <x v="3"/>
    <n v="0"/>
    <n v="0"/>
    <n v="0"/>
    <n v="0"/>
    <n v="0"/>
    <n v="0"/>
    <x v="0"/>
    <n v="0"/>
  </r>
  <r>
    <s v="ti.28107"/>
    <x v="0"/>
    <x v="0"/>
    <x v="2"/>
    <s v="神戸市須磨区"/>
    <x v="6"/>
    <x v="4"/>
    <x v="4"/>
    <x v="4"/>
    <x v="4"/>
    <n v="25"/>
    <n v="1.05"/>
    <n v="2"/>
    <n v="0.15"/>
    <n v="23"/>
    <n v="2.23"/>
    <x v="0"/>
    <n v="0"/>
  </r>
  <r>
    <s v="ti.28107"/>
    <x v="0"/>
    <x v="0"/>
    <x v="2"/>
    <s v="神戸市須磨区"/>
    <x v="6"/>
    <x v="5"/>
    <x v="5"/>
    <x v="5"/>
    <x v="5"/>
    <n v="56"/>
    <n v="2.35"/>
    <n v="30"/>
    <n v="2.2200000000000002"/>
    <n v="26"/>
    <n v="2.52"/>
    <x v="0"/>
    <n v="0"/>
  </r>
  <r>
    <s v="ti.28107"/>
    <x v="0"/>
    <x v="0"/>
    <x v="2"/>
    <s v="神戸市須磨区"/>
    <x v="6"/>
    <x v="6"/>
    <x v="6"/>
    <x v="6"/>
    <x v="6"/>
    <n v="568"/>
    <n v="23.79"/>
    <n v="283"/>
    <n v="20.93"/>
    <n v="285"/>
    <n v="27.64"/>
    <x v="0"/>
    <n v="0"/>
  </r>
  <r>
    <s v="ti.28107"/>
    <x v="0"/>
    <x v="0"/>
    <x v="2"/>
    <s v="神戸市須磨区"/>
    <x v="6"/>
    <x v="7"/>
    <x v="7"/>
    <x v="7"/>
    <x v="7"/>
    <n v="14"/>
    <n v="0.59"/>
    <n v="1"/>
    <n v="7.0000000000000007E-2"/>
    <n v="13"/>
    <n v="1.26"/>
    <x v="0"/>
    <n v="0"/>
  </r>
  <r>
    <s v="ti.28107"/>
    <x v="0"/>
    <x v="0"/>
    <x v="2"/>
    <s v="神戸市須磨区"/>
    <x v="6"/>
    <x v="8"/>
    <x v="8"/>
    <x v="8"/>
    <x v="8"/>
    <n v="275"/>
    <n v="11.52"/>
    <n v="95"/>
    <n v="7.03"/>
    <n v="179"/>
    <n v="17.36"/>
    <x v="6"/>
    <n v="20"/>
  </r>
  <r>
    <s v="ti.28107"/>
    <x v="0"/>
    <x v="0"/>
    <x v="2"/>
    <s v="神戸市須磨区"/>
    <x v="6"/>
    <x v="9"/>
    <x v="9"/>
    <x v="9"/>
    <x v="9"/>
    <n v="85"/>
    <n v="3.56"/>
    <n v="45"/>
    <n v="3.33"/>
    <n v="40"/>
    <n v="3.88"/>
    <x v="0"/>
    <n v="0"/>
  </r>
  <r>
    <s v="ti.28107"/>
    <x v="0"/>
    <x v="0"/>
    <x v="2"/>
    <s v="神戸市須磨区"/>
    <x v="6"/>
    <x v="10"/>
    <x v="10"/>
    <x v="10"/>
    <x v="10"/>
    <n v="368"/>
    <n v="15.41"/>
    <n v="324"/>
    <n v="23.96"/>
    <n v="44"/>
    <n v="4.2699999999999996"/>
    <x v="0"/>
    <n v="0"/>
  </r>
  <r>
    <s v="ti.28107"/>
    <x v="0"/>
    <x v="0"/>
    <x v="2"/>
    <s v="神戸市須磨区"/>
    <x v="6"/>
    <x v="11"/>
    <x v="11"/>
    <x v="11"/>
    <x v="11"/>
    <n v="283"/>
    <n v="11.85"/>
    <n v="212"/>
    <n v="15.68"/>
    <n v="71"/>
    <n v="6.89"/>
    <x v="0"/>
    <n v="0"/>
  </r>
  <r>
    <s v="ti.28107"/>
    <x v="0"/>
    <x v="0"/>
    <x v="2"/>
    <s v="神戸市須磨区"/>
    <x v="6"/>
    <x v="12"/>
    <x v="12"/>
    <x v="12"/>
    <x v="12"/>
    <n v="102"/>
    <n v="4.2699999999999996"/>
    <n v="73"/>
    <n v="5.4"/>
    <n v="28"/>
    <n v="2.72"/>
    <x v="6"/>
    <n v="20"/>
  </r>
  <r>
    <s v="ti.28107"/>
    <x v="0"/>
    <x v="0"/>
    <x v="2"/>
    <s v="神戸市須磨区"/>
    <x v="6"/>
    <x v="13"/>
    <x v="13"/>
    <x v="13"/>
    <x v="13"/>
    <n v="140"/>
    <n v="5.86"/>
    <n v="85"/>
    <n v="6.29"/>
    <n v="52"/>
    <n v="5.04"/>
    <x v="3"/>
    <n v="60"/>
  </r>
  <r>
    <s v="ti.28107"/>
    <x v="0"/>
    <x v="0"/>
    <x v="2"/>
    <s v="神戸市須磨区"/>
    <x v="6"/>
    <x v="14"/>
    <x v="14"/>
    <x v="14"/>
    <x v="14"/>
    <n v="51"/>
    <n v="2.14"/>
    <n v="22"/>
    <n v="1.63"/>
    <n v="29"/>
    <n v="2.81"/>
    <x v="0"/>
    <n v="0"/>
  </r>
  <r>
    <s v="ti.28108"/>
    <x v="0"/>
    <x v="0"/>
    <x v="2"/>
    <s v="神戸市垂水区"/>
    <x v="7"/>
    <x v="0"/>
    <x v="0"/>
    <x v="0"/>
    <x v="0"/>
    <n v="0"/>
    <n v="0"/>
    <n v="0"/>
    <n v="0"/>
    <n v="0"/>
    <n v="0"/>
    <x v="0"/>
    <n v="0"/>
  </r>
  <r>
    <s v="ti.28108"/>
    <x v="0"/>
    <x v="0"/>
    <x v="2"/>
    <s v="神戸市垂水区"/>
    <x v="7"/>
    <x v="1"/>
    <x v="1"/>
    <x v="1"/>
    <x v="1"/>
    <n v="288"/>
    <n v="9.7100000000000009"/>
    <n v="72"/>
    <n v="4.07"/>
    <n v="216"/>
    <n v="18.149999999999999"/>
    <x v="0"/>
    <n v="0"/>
  </r>
  <r>
    <s v="ti.28108"/>
    <x v="0"/>
    <x v="0"/>
    <x v="2"/>
    <s v="神戸市垂水区"/>
    <x v="7"/>
    <x v="2"/>
    <x v="2"/>
    <x v="2"/>
    <x v="2"/>
    <n v="89"/>
    <n v="3"/>
    <n v="43"/>
    <n v="2.4300000000000002"/>
    <n v="46"/>
    <n v="3.87"/>
    <x v="0"/>
    <n v="0"/>
  </r>
  <r>
    <s v="ti.28108"/>
    <x v="0"/>
    <x v="0"/>
    <x v="2"/>
    <s v="神戸市垂水区"/>
    <x v="7"/>
    <x v="3"/>
    <x v="3"/>
    <x v="3"/>
    <x v="3"/>
    <n v="0"/>
    <n v="0"/>
    <n v="0"/>
    <n v="0"/>
    <n v="0"/>
    <n v="0"/>
    <x v="0"/>
    <n v="0"/>
  </r>
  <r>
    <s v="ti.28108"/>
    <x v="0"/>
    <x v="0"/>
    <x v="2"/>
    <s v="神戸市垂水区"/>
    <x v="7"/>
    <x v="4"/>
    <x v="4"/>
    <x v="4"/>
    <x v="4"/>
    <n v="23"/>
    <n v="0.78"/>
    <n v="2"/>
    <n v="0.11"/>
    <n v="21"/>
    <n v="1.76"/>
    <x v="0"/>
    <n v="0"/>
  </r>
  <r>
    <s v="ti.28108"/>
    <x v="0"/>
    <x v="0"/>
    <x v="2"/>
    <s v="神戸市垂水区"/>
    <x v="7"/>
    <x v="5"/>
    <x v="5"/>
    <x v="5"/>
    <x v="5"/>
    <n v="40"/>
    <n v="1.35"/>
    <n v="26"/>
    <n v="1.47"/>
    <n v="14"/>
    <n v="1.18"/>
    <x v="0"/>
    <n v="0"/>
  </r>
  <r>
    <s v="ti.28108"/>
    <x v="0"/>
    <x v="0"/>
    <x v="2"/>
    <s v="神戸市垂水区"/>
    <x v="7"/>
    <x v="6"/>
    <x v="6"/>
    <x v="6"/>
    <x v="6"/>
    <n v="690"/>
    <n v="23.27"/>
    <n v="368"/>
    <n v="20.8"/>
    <n v="322"/>
    <n v="27.06"/>
    <x v="0"/>
    <n v="0"/>
  </r>
  <r>
    <s v="ti.28108"/>
    <x v="0"/>
    <x v="0"/>
    <x v="2"/>
    <s v="神戸市垂水区"/>
    <x v="7"/>
    <x v="7"/>
    <x v="7"/>
    <x v="7"/>
    <x v="7"/>
    <n v="22"/>
    <n v="0.74"/>
    <n v="5"/>
    <n v="0.28000000000000003"/>
    <n v="17"/>
    <n v="1.43"/>
    <x v="0"/>
    <n v="0"/>
  </r>
  <r>
    <s v="ti.28108"/>
    <x v="0"/>
    <x v="0"/>
    <x v="2"/>
    <s v="神戸市垂水区"/>
    <x v="7"/>
    <x v="8"/>
    <x v="8"/>
    <x v="8"/>
    <x v="8"/>
    <n v="365"/>
    <n v="12.31"/>
    <n v="154"/>
    <n v="8.7100000000000009"/>
    <n v="209"/>
    <n v="17.559999999999999"/>
    <x v="1"/>
    <n v="33.33"/>
  </r>
  <r>
    <s v="ti.28108"/>
    <x v="0"/>
    <x v="0"/>
    <x v="2"/>
    <s v="神戸市垂水区"/>
    <x v="7"/>
    <x v="9"/>
    <x v="9"/>
    <x v="9"/>
    <x v="9"/>
    <n v="140"/>
    <n v="4.72"/>
    <n v="84"/>
    <n v="4.75"/>
    <n v="56"/>
    <n v="4.71"/>
    <x v="0"/>
    <n v="0"/>
  </r>
  <r>
    <s v="ti.28108"/>
    <x v="0"/>
    <x v="0"/>
    <x v="2"/>
    <s v="神戸市垂水区"/>
    <x v="7"/>
    <x v="10"/>
    <x v="10"/>
    <x v="10"/>
    <x v="10"/>
    <n v="393"/>
    <n v="13.25"/>
    <n v="345"/>
    <n v="19.5"/>
    <n v="48"/>
    <n v="4.03"/>
    <x v="0"/>
    <n v="0"/>
  </r>
  <r>
    <s v="ti.28108"/>
    <x v="0"/>
    <x v="0"/>
    <x v="2"/>
    <s v="神戸市垂水区"/>
    <x v="7"/>
    <x v="11"/>
    <x v="11"/>
    <x v="11"/>
    <x v="11"/>
    <n v="456"/>
    <n v="15.38"/>
    <n v="365"/>
    <n v="20.63"/>
    <n v="90"/>
    <n v="7.56"/>
    <x v="6"/>
    <n v="16.670000000000002"/>
  </r>
  <r>
    <s v="ti.28108"/>
    <x v="0"/>
    <x v="0"/>
    <x v="2"/>
    <s v="神戸市垂水区"/>
    <x v="7"/>
    <x v="12"/>
    <x v="12"/>
    <x v="12"/>
    <x v="12"/>
    <n v="199"/>
    <n v="6.71"/>
    <n v="153"/>
    <n v="8.65"/>
    <n v="44"/>
    <n v="3.7"/>
    <x v="1"/>
    <n v="33.33"/>
  </r>
  <r>
    <s v="ti.28108"/>
    <x v="0"/>
    <x v="0"/>
    <x v="2"/>
    <s v="神戸市垂水区"/>
    <x v="7"/>
    <x v="13"/>
    <x v="13"/>
    <x v="13"/>
    <x v="13"/>
    <n v="189"/>
    <n v="6.37"/>
    <n v="119"/>
    <n v="6.73"/>
    <n v="70"/>
    <n v="5.88"/>
    <x v="0"/>
    <n v="0"/>
  </r>
  <r>
    <s v="ti.28108"/>
    <x v="0"/>
    <x v="0"/>
    <x v="2"/>
    <s v="神戸市垂水区"/>
    <x v="7"/>
    <x v="14"/>
    <x v="14"/>
    <x v="14"/>
    <x v="14"/>
    <n v="71"/>
    <n v="2.39"/>
    <n v="33"/>
    <n v="1.87"/>
    <n v="37"/>
    <n v="3.11"/>
    <x v="6"/>
    <n v="16.670000000000002"/>
  </r>
  <r>
    <s v="ti.28109"/>
    <x v="0"/>
    <x v="0"/>
    <x v="2"/>
    <s v="神戸市北区"/>
    <x v="8"/>
    <x v="0"/>
    <x v="0"/>
    <x v="0"/>
    <x v="0"/>
    <n v="0"/>
    <n v="0"/>
    <n v="0"/>
    <n v="0"/>
    <n v="0"/>
    <n v="0"/>
    <x v="0"/>
    <n v="0"/>
  </r>
  <r>
    <s v="ti.28109"/>
    <x v="0"/>
    <x v="0"/>
    <x v="2"/>
    <s v="神戸市北区"/>
    <x v="8"/>
    <x v="1"/>
    <x v="1"/>
    <x v="1"/>
    <x v="1"/>
    <n v="344"/>
    <n v="12.74"/>
    <n v="98"/>
    <n v="6.97"/>
    <n v="246"/>
    <n v="19.05"/>
    <x v="0"/>
    <n v="0"/>
  </r>
  <r>
    <s v="ti.28109"/>
    <x v="0"/>
    <x v="0"/>
    <x v="2"/>
    <s v="神戸市北区"/>
    <x v="8"/>
    <x v="2"/>
    <x v="2"/>
    <x v="2"/>
    <x v="2"/>
    <n v="119"/>
    <n v="4.41"/>
    <n v="45"/>
    <n v="3.2"/>
    <n v="74"/>
    <n v="5.73"/>
    <x v="0"/>
    <n v="0"/>
  </r>
  <r>
    <s v="ti.28109"/>
    <x v="0"/>
    <x v="0"/>
    <x v="2"/>
    <s v="神戸市北区"/>
    <x v="8"/>
    <x v="3"/>
    <x v="3"/>
    <x v="3"/>
    <x v="3"/>
    <n v="1"/>
    <n v="0.04"/>
    <n v="0"/>
    <n v="0"/>
    <n v="1"/>
    <n v="0.08"/>
    <x v="0"/>
    <n v="0"/>
  </r>
  <r>
    <s v="ti.28109"/>
    <x v="0"/>
    <x v="0"/>
    <x v="2"/>
    <s v="神戸市北区"/>
    <x v="8"/>
    <x v="4"/>
    <x v="4"/>
    <x v="4"/>
    <x v="4"/>
    <n v="27"/>
    <n v="1"/>
    <n v="2"/>
    <n v="0.14000000000000001"/>
    <n v="25"/>
    <n v="1.94"/>
    <x v="0"/>
    <n v="0"/>
  </r>
  <r>
    <s v="ti.28109"/>
    <x v="0"/>
    <x v="0"/>
    <x v="2"/>
    <s v="神戸市北区"/>
    <x v="8"/>
    <x v="5"/>
    <x v="5"/>
    <x v="5"/>
    <x v="5"/>
    <n v="56"/>
    <n v="2.0699999999999998"/>
    <n v="42"/>
    <n v="2.99"/>
    <n v="14"/>
    <n v="1.08"/>
    <x v="0"/>
    <n v="0"/>
  </r>
  <r>
    <s v="ti.28109"/>
    <x v="0"/>
    <x v="0"/>
    <x v="2"/>
    <s v="神戸市北区"/>
    <x v="8"/>
    <x v="6"/>
    <x v="6"/>
    <x v="6"/>
    <x v="6"/>
    <n v="671"/>
    <n v="24.84"/>
    <n v="273"/>
    <n v="19.420000000000002"/>
    <n v="398"/>
    <n v="30.83"/>
    <x v="0"/>
    <n v="0"/>
  </r>
  <r>
    <s v="ti.28109"/>
    <x v="0"/>
    <x v="0"/>
    <x v="2"/>
    <s v="神戸市北区"/>
    <x v="8"/>
    <x v="7"/>
    <x v="7"/>
    <x v="7"/>
    <x v="7"/>
    <n v="18"/>
    <n v="0.67"/>
    <n v="3"/>
    <n v="0.21"/>
    <n v="15"/>
    <n v="1.1599999999999999"/>
    <x v="0"/>
    <n v="0"/>
  </r>
  <r>
    <s v="ti.28109"/>
    <x v="0"/>
    <x v="0"/>
    <x v="2"/>
    <s v="神戸市北区"/>
    <x v="8"/>
    <x v="8"/>
    <x v="8"/>
    <x v="8"/>
    <x v="8"/>
    <n v="239"/>
    <n v="8.85"/>
    <n v="73"/>
    <n v="5.19"/>
    <n v="166"/>
    <n v="12.86"/>
    <x v="0"/>
    <n v="0"/>
  </r>
  <r>
    <s v="ti.28109"/>
    <x v="0"/>
    <x v="0"/>
    <x v="2"/>
    <s v="神戸市北区"/>
    <x v="8"/>
    <x v="9"/>
    <x v="9"/>
    <x v="9"/>
    <x v="9"/>
    <n v="102"/>
    <n v="3.78"/>
    <n v="45"/>
    <n v="3.2"/>
    <n v="57"/>
    <n v="4.42"/>
    <x v="0"/>
    <n v="0"/>
  </r>
  <r>
    <s v="ti.28109"/>
    <x v="0"/>
    <x v="0"/>
    <x v="2"/>
    <s v="神戸市北区"/>
    <x v="8"/>
    <x v="10"/>
    <x v="10"/>
    <x v="10"/>
    <x v="10"/>
    <n v="325"/>
    <n v="12.03"/>
    <n v="263"/>
    <n v="18.71"/>
    <n v="62"/>
    <n v="4.8"/>
    <x v="0"/>
    <n v="0"/>
  </r>
  <r>
    <s v="ti.28109"/>
    <x v="0"/>
    <x v="0"/>
    <x v="2"/>
    <s v="神戸市北区"/>
    <x v="8"/>
    <x v="11"/>
    <x v="11"/>
    <x v="11"/>
    <x v="11"/>
    <n v="371"/>
    <n v="13.74"/>
    <n v="263"/>
    <n v="18.71"/>
    <n v="108"/>
    <n v="8.3699999999999992"/>
    <x v="0"/>
    <n v="0"/>
  </r>
  <r>
    <s v="ti.28109"/>
    <x v="0"/>
    <x v="0"/>
    <x v="2"/>
    <s v="神戸市北区"/>
    <x v="8"/>
    <x v="12"/>
    <x v="12"/>
    <x v="12"/>
    <x v="12"/>
    <n v="200"/>
    <n v="7.4"/>
    <n v="175"/>
    <n v="12.45"/>
    <n v="24"/>
    <n v="1.86"/>
    <x v="6"/>
    <n v="25"/>
  </r>
  <r>
    <s v="ti.28109"/>
    <x v="0"/>
    <x v="0"/>
    <x v="2"/>
    <s v="神戸市北区"/>
    <x v="8"/>
    <x v="13"/>
    <x v="13"/>
    <x v="13"/>
    <x v="13"/>
    <n v="155"/>
    <n v="5.74"/>
    <n v="94"/>
    <n v="6.69"/>
    <n v="60"/>
    <n v="4.6500000000000004"/>
    <x v="6"/>
    <n v="25"/>
  </r>
  <r>
    <s v="ti.28109"/>
    <x v="0"/>
    <x v="0"/>
    <x v="2"/>
    <s v="神戸市北区"/>
    <x v="8"/>
    <x v="14"/>
    <x v="14"/>
    <x v="14"/>
    <x v="14"/>
    <n v="73"/>
    <n v="2.7"/>
    <n v="30"/>
    <n v="2.13"/>
    <n v="41"/>
    <n v="3.18"/>
    <x v="1"/>
    <n v="50"/>
  </r>
  <r>
    <s v="ti.28110"/>
    <x v="0"/>
    <x v="0"/>
    <x v="2"/>
    <s v="神戸市中央区"/>
    <x v="9"/>
    <x v="0"/>
    <x v="0"/>
    <x v="0"/>
    <x v="0"/>
    <n v="0"/>
    <n v="0"/>
    <n v="0"/>
    <n v="0"/>
    <n v="0"/>
    <n v="0"/>
    <x v="0"/>
    <n v="0"/>
  </r>
  <r>
    <s v="ti.28110"/>
    <x v="0"/>
    <x v="0"/>
    <x v="2"/>
    <s v="神戸市中央区"/>
    <x v="9"/>
    <x v="1"/>
    <x v="1"/>
    <x v="1"/>
    <x v="1"/>
    <n v="469"/>
    <n v="4.2699999999999996"/>
    <n v="40"/>
    <n v="0.69"/>
    <n v="428"/>
    <n v="8.27"/>
    <x v="6"/>
    <n v="4"/>
  </r>
  <r>
    <s v="ti.28110"/>
    <x v="0"/>
    <x v="0"/>
    <x v="2"/>
    <s v="神戸市中央区"/>
    <x v="9"/>
    <x v="2"/>
    <x v="2"/>
    <x v="2"/>
    <x v="2"/>
    <n v="324"/>
    <n v="2.95"/>
    <n v="82"/>
    <n v="1.42"/>
    <n v="241"/>
    <n v="4.66"/>
    <x v="6"/>
    <n v="4"/>
  </r>
  <r>
    <s v="ti.28110"/>
    <x v="0"/>
    <x v="0"/>
    <x v="2"/>
    <s v="神戸市中央区"/>
    <x v="9"/>
    <x v="3"/>
    <x v="3"/>
    <x v="3"/>
    <x v="3"/>
    <n v="5"/>
    <n v="0.05"/>
    <n v="0"/>
    <n v="0"/>
    <n v="5"/>
    <n v="0.1"/>
    <x v="0"/>
    <n v="0"/>
  </r>
  <r>
    <s v="ti.28110"/>
    <x v="0"/>
    <x v="0"/>
    <x v="2"/>
    <s v="神戸市中央区"/>
    <x v="9"/>
    <x v="4"/>
    <x v="4"/>
    <x v="4"/>
    <x v="4"/>
    <n v="181"/>
    <n v="1.65"/>
    <n v="16"/>
    <n v="0.28000000000000003"/>
    <n v="164"/>
    <n v="3.17"/>
    <x v="6"/>
    <n v="4"/>
  </r>
  <r>
    <s v="ti.28110"/>
    <x v="0"/>
    <x v="0"/>
    <x v="2"/>
    <s v="神戸市中央区"/>
    <x v="9"/>
    <x v="5"/>
    <x v="5"/>
    <x v="5"/>
    <x v="5"/>
    <n v="173"/>
    <n v="1.58"/>
    <n v="6"/>
    <n v="0.1"/>
    <n v="167"/>
    <n v="3.23"/>
    <x v="0"/>
    <n v="0"/>
  </r>
  <r>
    <s v="ti.28110"/>
    <x v="0"/>
    <x v="0"/>
    <x v="2"/>
    <s v="神戸市中央区"/>
    <x v="9"/>
    <x v="6"/>
    <x v="6"/>
    <x v="6"/>
    <x v="6"/>
    <n v="2844"/>
    <n v="25.91"/>
    <n v="1019"/>
    <n v="17.64"/>
    <n v="1823"/>
    <n v="35.24"/>
    <x v="1"/>
    <n v="8"/>
  </r>
  <r>
    <s v="ti.28110"/>
    <x v="0"/>
    <x v="0"/>
    <x v="2"/>
    <s v="神戸市中央区"/>
    <x v="9"/>
    <x v="7"/>
    <x v="7"/>
    <x v="7"/>
    <x v="7"/>
    <n v="70"/>
    <n v="0.64"/>
    <n v="5"/>
    <n v="0.09"/>
    <n v="65"/>
    <n v="1.26"/>
    <x v="0"/>
    <n v="0"/>
  </r>
  <r>
    <s v="ti.28110"/>
    <x v="0"/>
    <x v="0"/>
    <x v="2"/>
    <s v="神戸市中央区"/>
    <x v="9"/>
    <x v="8"/>
    <x v="8"/>
    <x v="8"/>
    <x v="8"/>
    <n v="1069"/>
    <n v="9.74"/>
    <n v="295"/>
    <n v="5.1100000000000003"/>
    <n v="769"/>
    <n v="14.87"/>
    <x v="8"/>
    <n v="20"/>
  </r>
  <r>
    <s v="ti.28110"/>
    <x v="0"/>
    <x v="0"/>
    <x v="2"/>
    <s v="神戸市中央区"/>
    <x v="9"/>
    <x v="9"/>
    <x v="9"/>
    <x v="9"/>
    <x v="9"/>
    <n v="1148"/>
    <n v="10.46"/>
    <n v="746"/>
    <n v="12.91"/>
    <n v="398"/>
    <n v="7.69"/>
    <x v="16"/>
    <n v="16"/>
  </r>
  <r>
    <s v="ti.28110"/>
    <x v="0"/>
    <x v="0"/>
    <x v="2"/>
    <s v="神戸市中央区"/>
    <x v="9"/>
    <x v="10"/>
    <x v="10"/>
    <x v="10"/>
    <x v="10"/>
    <n v="2864"/>
    <n v="26.1"/>
    <n v="2542"/>
    <n v="44"/>
    <n v="322"/>
    <n v="6.22"/>
    <x v="0"/>
    <n v="0"/>
  </r>
  <r>
    <s v="ti.28110"/>
    <x v="0"/>
    <x v="0"/>
    <x v="2"/>
    <s v="神戸市中央区"/>
    <x v="9"/>
    <x v="11"/>
    <x v="11"/>
    <x v="11"/>
    <x v="11"/>
    <n v="874"/>
    <n v="7.96"/>
    <n v="583"/>
    <n v="10.09"/>
    <n v="290"/>
    <n v="5.61"/>
    <x v="6"/>
    <n v="4"/>
  </r>
  <r>
    <s v="ti.28110"/>
    <x v="0"/>
    <x v="0"/>
    <x v="2"/>
    <s v="神戸市中央区"/>
    <x v="9"/>
    <x v="12"/>
    <x v="12"/>
    <x v="12"/>
    <x v="12"/>
    <n v="243"/>
    <n v="2.21"/>
    <n v="133"/>
    <n v="2.2999999999999998"/>
    <n v="107"/>
    <n v="2.0699999999999998"/>
    <x v="3"/>
    <n v="12"/>
  </r>
  <r>
    <s v="ti.28110"/>
    <x v="0"/>
    <x v="0"/>
    <x v="2"/>
    <s v="神戸市中央区"/>
    <x v="9"/>
    <x v="13"/>
    <x v="13"/>
    <x v="13"/>
    <x v="13"/>
    <n v="370"/>
    <n v="3.37"/>
    <n v="242"/>
    <n v="4.1900000000000004"/>
    <n v="124"/>
    <n v="2.4"/>
    <x v="16"/>
    <n v="16"/>
  </r>
  <r>
    <s v="ti.28110"/>
    <x v="0"/>
    <x v="0"/>
    <x v="2"/>
    <s v="神戸市中央区"/>
    <x v="9"/>
    <x v="14"/>
    <x v="14"/>
    <x v="14"/>
    <x v="14"/>
    <n v="341"/>
    <n v="3.11"/>
    <n v="68"/>
    <n v="1.18"/>
    <n v="270"/>
    <n v="5.22"/>
    <x v="3"/>
    <n v="12"/>
  </r>
  <r>
    <s v="ti.28111"/>
    <x v="0"/>
    <x v="0"/>
    <x v="2"/>
    <s v="神戸市西区"/>
    <x v="10"/>
    <x v="0"/>
    <x v="0"/>
    <x v="0"/>
    <x v="0"/>
    <n v="0"/>
    <n v="0"/>
    <n v="0"/>
    <n v="0"/>
    <n v="0"/>
    <n v="0"/>
    <x v="0"/>
    <n v="0"/>
  </r>
  <r>
    <s v="ti.28111"/>
    <x v="0"/>
    <x v="0"/>
    <x v="2"/>
    <s v="神戸市西区"/>
    <x v="10"/>
    <x v="1"/>
    <x v="1"/>
    <x v="1"/>
    <x v="1"/>
    <n v="455"/>
    <n v="14.51"/>
    <n v="123"/>
    <n v="8.89"/>
    <n v="332"/>
    <n v="18.98"/>
    <x v="0"/>
    <n v="0"/>
  </r>
  <r>
    <s v="ti.28111"/>
    <x v="0"/>
    <x v="0"/>
    <x v="2"/>
    <s v="神戸市西区"/>
    <x v="10"/>
    <x v="2"/>
    <x v="2"/>
    <x v="2"/>
    <x v="2"/>
    <n v="390"/>
    <n v="12.44"/>
    <n v="112"/>
    <n v="8.1"/>
    <n v="277"/>
    <n v="15.84"/>
    <x v="6"/>
    <n v="33.33"/>
  </r>
  <r>
    <s v="ti.28111"/>
    <x v="0"/>
    <x v="0"/>
    <x v="2"/>
    <s v="神戸市西区"/>
    <x v="10"/>
    <x v="3"/>
    <x v="3"/>
    <x v="3"/>
    <x v="3"/>
    <n v="1"/>
    <n v="0.03"/>
    <n v="0"/>
    <n v="0"/>
    <n v="1"/>
    <n v="0.06"/>
    <x v="0"/>
    <n v="0"/>
  </r>
  <r>
    <s v="ti.28111"/>
    <x v="0"/>
    <x v="0"/>
    <x v="2"/>
    <s v="神戸市西区"/>
    <x v="10"/>
    <x v="4"/>
    <x v="4"/>
    <x v="4"/>
    <x v="4"/>
    <n v="22"/>
    <n v="0.7"/>
    <n v="3"/>
    <n v="0.22"/>
    <n v="19"/>
    <n v="1.0900000000000001"/>
    <x v="0"/>
    <n v="0"/>
  </r>
  <r>
    <s v="ti.28111"/>
    <x v="0"/>
    <x v="0"/>
    <x v="2"/>
    <s v="神戸市西区"/>
    <x v="10"/>
    <x v="5"/>
    <x v="5"/>
    <x v="5"/>
    <x v="5"/>
    <n v="82"/>
    <n v="2.62"/>
    <n v="34"/>
    <n v="2.46"/>
    <n v="48"/>
    <n v="2.74"/>
    <x v="0"/>
    <n v="0"/>
  </r>
  <r>
    <s v="ti.28111"/>
    <x v="0"/>
    <x v="0"/>
    <x v="2"/>
    <s v="神戸市西区"/>
    <x v="10"/>
    <x v="6"/>
    <x v="6"/>
    <x v="6"/>
    <x v="6"/>
    <n v="711"/>
    <n v="22.68"/>
    <n v="273"/>
    <n v="19.739999999999998"/>
    <n v="436"/>
    <n v="24.93"/>
    <x v="1"/>
    <n v="66.67"/>
  </r>
  <r>
    <s v="ti.28111"/>
    <x v="0"/>
    <x v="0"/>
    <x v="2"/>
    <s v="神戸市西区"/>
    <x v="10"/>
    <x v="7"/>
    <x v="7"/>
    <x v="7"/>
    <x v="7"/>
    <n v="26"/>
    <n v="0.83"/>
    <n v="2"/>
    <n v="0.14000000000000001"/>
    <n v="24"/>
    <n v="1.37"/>
    <x v="0"/>
    <n v="0"/>
  </r>
  <r>
    <s v="ti.28111"/>
    <x v="0"/>
    <x v="0"/>
    <x v="2"/>
    <s v="神戸市西区"/>
    <x v="10"/>
    <x v="8"/>
    <x v="8"/>
    <x v="8"/>
    <x v="8"/>
    <n v="346"/>
    <n v="11.04"/>
    <n v="127"/>
    <n v="9.18"/>
    <n v="219"/>
    <n v="12.52"/>
    <x v="0"/>
    <n v="0"/>
  </r>
  <r>
    <s v="ti.28111"/>
    <x v="0"/>
    <x v="0"/>
    <x v="2"/>
    <s v="神戸市西区"/>
    <x v="10"/>
    <x v="9"/>
    <x v="9"/>
    <x v="9"/>
    <x v="9"/>
    <n v="133"/>
    <n v="4.24"/>
    <n v="55"/>
    <n v="3.98"/>
    <n v="78"/>
    <n v="4.46"/>
    <x v="0"/>
    <n v="0"/>
  </r>
  <r>
    <s v="ti.28111"/>
    <x v="0"/>
    <x v="0"/>
    <x v="2"/>
    <s v="神戸市西区"/>
    <x v="10"/>
    <x v="10"/>
    <x v="10"/>
    <x v="10"/>
    <x v="10"/>
    <n v="232"/>
    <n v="7.4"/>
    <n v="179"/>
    <n v="12.94"/>
    <n v="53"/>
    <n v="3.03"/>
    <x v="0"/>
    <n v="0"/>
  </r>
  <r>
    <s v="ti.28111"/>
    <x v="0"/>
    <x v="0"/>
    <x v="2"/>
    <s v="神戸市西区"/>
    <x v="10"/>
    <x v="11"/>
    <x v="11"/>
    <x v="11"/>
    <x v="11"/>
    <n v="294"/>
    <n v="9.3800000000000008"/>
    <n v="202"/>
    <n v="14.61"/>
    <n v="92"/>
    <n v="5.26"/>
    <x v="0"/>
    <n v="0"/>
  </r>
  <r>
    <s v="ti.28111"/>
    <x v="0"/>
    <x v="0"/>
    <x v="2"/>
    <s v="神戸市西区"/>
    <x v="10"/>
    <x v="12"/>
    <x v="12"/>
    <x v="12"/>
    <x v="12"/>
    <n v="143"/>
    <n v="4.5599999999999996"/>
    <n v="116"/>
    <n v="8.39"/>
    <n v="27"/>
    <n v="1.54"/>
    <x v="0"/>
    <n v="0"/>
  </r>
  <r>
    <s v="ti.28111"/>
    <x v="0"/>
    <x v="0"/>
    <x v="2"/>
    <s v="神戸市西区"/>
    <x v="10"/>
    <x v="13"/>
    <x v="13"/>
    <x v="13"/>
    <x v="13"/>
    <n v="156"/>
    <n v="4.9800000000000004"/>
    <n v="83"/>
    <n v="6"/>
    <n v="73"/>
    <n v="4.17"/>
    <x v="0"/>
    <n v="0"/>
  </r>
  <r>
    <s v="ti.28111"/>
    <x v="0"/>
    <x v="0"/>
    <x v="2"/>
    <s v="神戸市西区"/>
    <x v="10"/>
    <x v="14"/>
    <x v="14"/>
    <x v="14"/>
    <x v="14"/>
    <n v="144"/>
    <n v="4.59"/>
    <n v="74"/>
    <n v="5.35"/>
    <n v="70"/>
    <n v="4"/>
    <x v="0"/>
    <n v="0"/>
  </r>
  <r>
    <s v="ti.28201"/>
    <x v="0"/>
    <x v="0"/>
    <x v="3"/>
    <s v="姫路市"/>
    <x v="11"/>
    <x v="0"/>
    <x v="0"/>
    <x v="0"/>
    <x v="0"/>
    <n v="3"/>
    <n v="0.02"/>
    <n v="0"/>
    <n v="0"/>
    <n v="3"/>
    <n v="0.06"/>
    <x v="0"/>
    <n v="0"/>
  </r>
  <r>
    <s v="ti.28201"/>
    <x v="0"/>
    <x v="0"/>
    <x v="3"/>
    <s v="姫路市"/>
    <x v="11"/>
    <x v="1"/>
    <x v="1"/>
    <x v="1"/>
    <x v="1"/>
    <n v="1726"/>
    <n v="12.57"/>
    <n v="585"/>
    <n v="7.06"/>
    <n v="1141"/>
    <n v="21.01"/>
    <x v="0"/>
    <n v="0"/>
  </r>
  <r>
    <s v="ti.28201"/>
    <x v="0"/>
    <x v="0"/>
    <x v="3"/>
    <s v="姫路市"/>
    <x v="11"/>
    <x v="2"/>
    <x v="2"/>
    <x v="2"/>
    <x v="2"/>
    <n v="1246"/>
    <n v="9.07"/>
    <n v="622"/>
    <n v="7.51"/>
    <n v="623"/>
    <n v="11.47"/>
    <x v="6"/>
    <n v="4.76"/>
  </r>
  <r>
    <s v="ti.28201"/>
    <x v="0"/>
    <x v="0"/>
    <x v="3"/>
    <s v="姫路市"/>
    <x v="11"/>
    <x v="3"/>
    <x v="3"/>
    <x v="3"/>
    <x v="3"/>
    <n v="3"/>
    <n v="0.02"/>
    <n v="0"/>
    <n v="0"/>
    <n v="3"/>
    <n v="0.06"/>
    <x v="0"/>
    <n v="0"/>
  </r>
  <r>
    <s v="ti.28201"/>
    <x v="0"/>
    <x v="0"/>
    <x v="3"/>
    <s v="姫路市"/>
    <x v="11"/>
    <x v="4"/>
    <x v="4"/>
    <x v="4"/>
    <x v="4"/>
    <n v="86"/>
    <n v="0.63"/>
    <n v="11"/>
    <n v="0.13"/>
    <n v="75"/>
    <n v="1.38"/>
    <x v="0"/>
    <n v="0"/>
  </r>
  <r>
    <s v="ti.28201"/>
    <x v="0"/>
    <x v="0"/>
    <x v="3"/>
    <s v="姫路市"/>
    <x v="11"/>
    <x v="5"/>
    <x v="5"/>
    <x v="5"/>
    <x v="5"/>
    <n v="130"/>
    <n v="0.95"/>
    <n v="33"/>
    <n v="0.4"/>
    <n v="97"/>
    <n v="1.79"/>
    <x v="0"/>
    <n v="0"/>
  </r>
  <r>
    <s v="ti.28201"/>
    <x v="0"/>
    <x v="0"/>
    <x v="3"/>
    <s v="姫路市"/>
    <x v="11"/>
    <x v="6"/>
    <x v="6"/>
    <x v="6"/>
    <x v="6"/>
    <n v="3513"/>
    <n v="25.58"/>
    <n v="1926"/>
    <n v="23.25"/>
    <n v="1586"/>
    <n v="29.21"/>
    <x v="6"/>
    <n v="4.76"/>
  </r>
  <r>
    <s v="ti.28201"/>
    <x v="0"/>
    <x v="0"/>
    <x v="3"/>
    <s v="姫路市"/>
    <x v="11"/>
    <x v="7"/>
    <x v="7"/>
    <x v="7"/>
    <x v="7"/>
    <n v="116"/>
    <n v="0.84"/>
    <n v="27"/>
    <n v="0.33"/>
    <n v="88"/>
    <n v="1.62"/>
    <x v="6"/>
    <n v="4.76"/>
  </r>
  <r>
    <s v="ti.28201"/>
    <x v="0"/>
    <x v="0"/>
    <x v="3"/>
    <s v="姫路市"/>
    <x v="11"/>
    <x v="8"/>
    <x v="8"/>
    <x v="8"/>
    <x v="8"/>
    <n v="1178"/>
    <n v="8.58"/>
    <n v="576"/>
    <n v="6.95"/>
    <n v="598"/>
    <n v="11.01"/>
    <x v="16"/>
    <n v="19.05"/>
  </r>
  <r>
    <s v="ti.28201"/>
    <x v="0"/>
    <x v="0"/>
    <x v="3"/>
    <s v="姫路市"/>
    <x v="11"/>
    <x v="9"/>
    <x v="9"/>
    <x v="9"/>
    <x v="9"/>
    <n v="631"/>
    <n v="4.59"/>
    <n v="403"/>
    <n v="4.87"/>
    <n v="228"/>
    <n v="4.2"/>
    <x v="0"/>
    <n v="0"/>
  </r>
  <r>
    <s v="ti.28201"/>
    <x v="0"/>
    <x v="0"/>
    <x v="3"/>
    <s v="姫路市"/>
    <x v="11"/>
    <x v="10"/>
    <x v="10"/>
    <x v="10"/>
    <x v="10"/>
    <n v="1999"/>
    <n v="14.56"/>
    <n v="1790"/>
    <n v="21.61"/>
    <n v="208"/>
    <n v="3.83"/>
    <x v="6"/>
    <n v="4.76"/>
  </r>
  <r>
    <s v="ti.28201"/>
    <x v="0"/>
    <x v="0"/>
    <x v="3"/>
    <s v="姫路市"/>
    <x v="11"/>
    <x v="11"/>
    <x v="11"/>
    <x v="11"/>
    <x v="11"/>
    <n v="1594"/>
    <n v="11.61"/>
    <n v="1275"/>
    <n v="15.39"/>
    <n v="319"/>
    <n v="5.87"/>
    <x v="0"/>
    <n v="0"/>
  </r>
  <r>
    <s v="ti.28201"/>
    <x v="0"/>
    <x v="0"/>
    <x v="3"/>
    <s v="姫路市"/>
    <x v="11"/>
    <x v="12"/>
    <x v="12"/>
    <x v="12"/>
    <x v="12"/>
    <n v="585"/>
    <n v="4.26"/>
    <n v="467"/>
    <n v="5.64"/>
    <n v="114"/>
    <n v="2.1"/>
    <x v="16"/>
    <n v="19.05"/>
  </r>
  <r>
    <s v="ti.28201"/>
    <x v="0"/>
    <x v="0"/>
    <x v="3"/>
    <s v="姫路市"/>
    <x v="11"/>
    <x v="13"/>
    <x v="13"/>
    <x v="13"/>
    <x v="13"/>
    <n v="485"/>
    <n v="3.53"/>
    <n v="359"/>
    <n v="4.33"/>
    <n v="125"/>
    <n v="2.2999999999999998"/>
    <x v="6"/>
    <n v="4.76"/>
  </r>
  <r>
    <s v="ti.28201"/>
    <x v="0"/>
    <x v="0"/>
    <x v="3"/>
    <s v="姫路市"/>
    <x v="11"/>
    <x v="14"/>
    <x v="14"/>
    <x v="14"/>
    <x v="14"/>
    <n v="439"/>
    <n v="3.2"/>
    <n v="209"/>
    <n v="2.52"/>
    <n v="222"/>
    <n v="4.09"/>
    <x v="18"/>
    <n v="38.1"/>
  </r>
  <r>
    <s v="ti.28202"/>
    <x v="0"/>
    <x v="0"/>
    <x v="3"/>
    <s v="尼崎市"/>
    <x v="12"/>
    <x v="0"/>
    <x v="0"/>
    <x v="0"/>
    <x v="0"/>
    <n v="0"/>
    <n v="0"/>
    <n v="0"/>
    <n v="0"/>
    <n v="0"/>
    <n v="0"/>
    <x v="0"/>
    <n v="0"/>
  </r>
  <r>
    <s v="ti.28202"/>
    <x v="0"/>
    <x v="0"/>
    <x v="3"/>
    <s v="尼崎市"/>
    <x v="12"/>
    <x v="1"/>
    <x v="1"/>
    <x v="1"/>
    <x v="1"/>
    <n v="1073"/>
    <n v="10.69"/>
    <n v="224"/>
    <n v="3.81"/>
    <n v="849"/>
    <n v="20.47"/>
    <x v="0"/>
    <n v="0"/>
  </r>
  <r>
    <s v="ti.28202"/>
    <x v="0"/>
    <x v="0"/>
    <x v="3"/>
    <s v="尼崎市"/>
    <x v="12"/>
    <x v="2"/>
    <x v="2"/>
    <x v="2"/>
    <x v="2"/>
    <n v="1082"/>
    <n v="10.78"/>
    <n v="414"/>
    <n v="7.04"/>
    <n v="667"/>
    <n v="16.079999999999998"/>
    <x v="6"/>
    <n v="10"/>
  </r>
  <r>
    <s v="ti.28202"/>
    <x v="0"/>
    <x v="0"/>
    <x v="3"/>
    <s v="尼崎市"/>
    <x v="12"/>
    <x v="3"/>
    <x v="3"/>
    <x v="3"/>
    <x v="3"/>
    <n v="1"/>
    <n v="0.01"/>
    <n v="0"/>
    <n v="0"/>
    <n v="1"/>
    <n v="0.02"/>
    <x v="0"/>
    <n v="0"/>
  </r>
  <r>
    <s v="ti.28202"/>
    <x v="0"/>
    <x v="0"/>
    <x v="3"/>
    <s v="尼崎市"/>
    <x v="12"/>
    <x v="4"/>
    <x v="4"/>
    <x v="4"/>
    <x v="4"/>
    <n v="53"/>
    <n v="0.53"/>
    <n v="0"/>
    <n v="0"/>
    <n v="53"/>
    <n v="1.28"/>
    <x v="0"/>
    <n v="0"/>
  </r>
  <r>
    <s v="ti.28202"/>
    <x v="0"/>
    <x v="0"/>
    <x v="3"/>
    <s v="尼崎市"/>
    <x v="12"/>
    <x v="5"/>
    <x v="5"/>
    <x v="5"/>
    <x v="5"/>
    <n v="69"/>
    <n v="0.69"/>
    <n v="17"/>
    <n v="0.28999999999999998"/>
    <n v="52"/>
    <n v="1.25"/>
    <x v="0"/>
    <n v="0"/>
  </r>
  <r>
    <s v="ti.28202"/>
    <x v="0"/>
    <x v="0"/>
    <x v="3"/>
    <s v="尼崎市"/>
    <x v="12"/>
    <x v="6"/>
    <x v="6"/>
    <x v="6"/>
    <x v="6"/>
    <n v="2335"/>
    <n v="23.26"/>
    <n v="1328"/>
    <n v="22.59"/>
    <n v="1007"/>
    <n v="24.28"/>
    <x v="0"/>
    <n v="0"/>
  </r>
  <r>
    <s v="ti.28202"/>
    <x v="0"/>
    <x v="0"/>
    <x v="3"/>
    <s v="尼崎市"/>
    <x v="12"/>
    <x v="7"/>
    <x v="7"/>
    <x v="7"/>
    <x v="7"/>
    <n v="34"/>
    <n v="0.34"/>
    <n v="6"/>
    <n v="0.1"/>
    <n v="28"/>
    <n v="0.68"/>
    <x v="0"/>
    <n v="0"/>
  </r>
  <r>
    <s v="ti.28202"/>
    <x v="0"/>
    <x v="0"/>
    <x v="3"/>
    <s v="尼崎市"/>
    <x v="12"/>
    <x v="8"/>
    <x v="8"/>
    <x v="8"/>
    <x v="8"/>
    <n v="985"/>
    <n v="9.81"/>
    <n v="326"/>
    <n v="5.54"/>
    <n v="659"/>
    <n v="15.89"/>
    <x v="0"/>
    <n v="0"/>
  </r>
  <r>
    <s v="ti.28202"/>
    <x v="0"/>
    <x v="0"/>
    <x v="3"/>
    <s v="尼崎市"/>
    <x v="12"/>
    <x v="9"/>
    <x v="9"/>
    <x v="9"/>
    <x v="9"/>
    <n v="329"/>
    <n v="3.28"/>
    <n v="218"/>
    <n v="3.71"/>
    <n v="111"/>
    <n v="2.68"/>
    <x v="0"/>
    <n v="0"/>
  </r>
  <r>
    <s v="ti.28202"/>
    <x v="0"/>
    <x v="0"/>
    <x v="3"/>
    <s v="尼崎市"/>
    <x v="12"/>
    <x v="10"/>
    <x v="10"/>
    <x v="10"/>
    <x v="10"/>
    <n v="1810"/>
    <n v="18.03"/>
    <n v="1641"/>
    <n v="27.91"/>
    <n v="168"/>
    <n v="4.05"/>
    <x v="6"/>
    <n v="10"/>
  </r>
  <r>
    <s v="ti.28202"/>
    <x v="0"/>
    <x v="0"/>
    <x v="3"/>
    <s v="尼崎市"/>
    <x v="12"/>
    <x v="11"/>
    <x v="11"/>
    <x v="11"/>
    <x v="11"/>
    <n v="1220"/>
    <n v="12.15"/>
    <n v="993"/>
    <n v="16.89"/>
    <n v="225"/>
    <n v="5.42"/>
    <x v="1"/>
    <n v="20"/>
  </r>
  <r>
    <s v="ti.28202"/>
    <x v="0"/>
    <x v="0"/>
    <x v="3"/>
    <s v="尼崎市"/>
    <x v="12"/>
    <x v="12"/>
    <x v="12"/>
    <x v="12"/>
    <x v="12"/>
    <n v="326"/>
    <n v="3.25"/>
    <n v="251"/>
    <n v="4.2699999999999996"/>
    <n v="73"/>
    <n v="1.76"/>
    <x v="1"/>
    <n v="20"/>
  </r>
  <r>
    <s v="ti.28202"/>
    <x v="0"/>
    <x v="0"/>
    <x v="3"/>
    <s v="尼崎市"/>
    <x v="12"/>
    <x v="13"/>
    <x v="13"/>
    <x v="13"/>
    <x v="13"/>
    <n v="476"/>
    <n v="4.74"/>
    <n v="351"/>
    <n v="5.97"/>
    <n v="124"/>
    <n v="2.99"/>
    <x v="6"/>
    <n v="10"/>
  </r>
  <r>
    <s v="ti.28202"/>
    <x v="0"/>
    <x v="0"/>
    <x v="3"/>
    <s v="尼崎市"/>
    <x v="12"/>
    <x v="14"/>
    <x v="14"/>
    <x v="14"/>
    <x v="14"/>
    <n v="245"/>
    <n v="2.44"/>
    <n v="111"/>
    <n v="1.89"/>
    <n v="131"/>
    <n v="3.16"/>
    <x v="3"/>
    <n v="30"/>
  </r>
  <r>
    <s v="ti.28203"/>
    <x v="0"/>
    <x v="0"/>
    <x v="3"/>
    <s v="明石市"/>
    <x v="13"/>
    <x v="0"/>
    <x v="0"/>
    <x v="0"/>
    <x v="0"/>
    <n v="0"/>
    <n v="0"/>
    <n v="0"/>
    <n v="0"/>
    <n v="0"/>
    <n v="0"/>
    <x v="0"/>
    <n v="0"/>
  </r>
  <r>
    <s v="ti.28203"/>
    <x v="0"/>
    <x v="0"/>
    <x v="3"/>
    <s v="明石市"/>
    <x v="13"/>
    <x v="1"/>
    <x v="1"/>
    <x v="1"/>
    <x v="1"/>
    <n v="426"/>
    <n v="8.6999999999999993"/>
    <n v="127"/>
    <n v="4.34"/>
    <n v="299"/>
    <n v="15.22"/>
    <x v="0"/>
    <n v="0"/>
  </r>
  <r>
    <s v="ti.28203"/>
    <x v="0"/>
    <x v="0"/>
    <x v="3"/>
    <s v="明石市"/>
    <x v="13"/>
    <x v="2"/>
    <x v="2"/>
    <x v="2"/>
    <x v="2"/>
    <n v="339"/>
    <n v="6.92"/>
    <n v="134"/>
    <n v="4.58"/>
    <n v="205"/>
    <n v="10.44"/>
    <x v="0"/>
    <n v="0"/>
  </r>
  <r>
    <s v="ti.28203"/>
    <x v="0"/>
    <x v="0"/>
    <x v="3"/>
    <s v="明石市"/>
    <x v="13"/>
    <x v="3"/>
    <x v="3"/>
    <x v="3"/>
    <x v="3"/>
    <n v="2"/>
    <n v="0.04"/>
    <n v="0"/>
    <n v="0"/>
    <n v="2"/>
    <n v="0.1"/>
    <x v="0"/>
    <n v="0"/>
  </r>
  <r>
    <s v="ti.28203"/>
    <x v="0"/>
    <x v="0"/>
    <x v="3"/>
    <s v="明石市"/>
    <x v="13"/>
    <x v="4"/>
    <x v="4"/>
    <x v="4"/>
    <x v="4"/>
    <n v="24"/>
    <n v="0.49"/>
    <n v="1"/>
    <n v="0.03"/>
    <n v="23"/>
    <n v="1.17"/>
    <x v="0"/>
    <n v="0"/>
  </r>
  <r>
    <s v="ti.28203"/>
    <x v="0"/>
    <x v="0"/>
    <x v="3"/>
    <s v="明石市"/>
    <x v="13"/>
    <x v="5"/>
    <x v="5"/>
    <x v="5"/>
    <x v="5"/>
    <n v="38"/>
    <n v="0.78"/>
    <n v="7"/>
    <n v="0.24"/>
    <n v="31"/>
    <n v="1.58"/>
    <x v="0"/>
    <n v="0"/>
  </r>
  <r>
    <s v="ti.28203"/>
    <x v="0"/>
    <x v="0"/>
    <x v="3"/>
    <s v="明石市"/>
    <x v="13"/>
    <x v="6"/>
    <x v="6"/>
    <x v="6"/>
    <x v="6"/>
    <n v="1276"/>
    <n v="26.05"/>
    <n v="685"/>
    <n v="23.41"/>
    <n v="590"/>
    <n v="30.04"/>
    <x v="6"/>
    <n v="12.5"/>
  </r>
  <r>
    <s v="ti.28203"/>
    <x v="0"/>
    <x v="0"/>
    <x v="3"/>
    <s v="明石市"/>
    <x v="13"/>
    <x v="7"/>
    <x v="7"/>
    <x v="7"/>
    <x v="7"/>
    <n v="29"/>
    <n v="0.59"/>
    <n v="4"/>
    <n v="0.14000000000000001"/>
    <n v="25"/>
    <n v="1.27"/>
    <x v="0"/>
    <n v="0"/>
  </r>
  <r>
    <s v="ti.28203"/>
    <x v="0"/>
    <x v="0"/>
    <x v="3"/>
    <s v="明石市"/>
    <x v="13"/>
    <x v="8"/>
    <x v="8"/>
    <x v="8"/>
    <x v="8"/>
    <n v="389"/>
    <n v="7.94"/>
    <n v="114"/>
    <n v="3.9"/>
    <n v="275"/>
    <n v="14"/>
    <x v="0"/>
    <n v="0"/>
  </r>
  <r>
    <s v="ti.28203"/>
    <x v="0"/>
    <x v="0"/>
    <x v="3"/>
    <s v="明石市"/>
    <x v="13"/>
    <x v="9"/>
    <x v="9"/>
    <x v="9"/>
    <x v="9"/>
    <n v="222"/>
    <n v="4.53"/>
    <n v="145"/>
    <n v="4.96"/>
    <n v="77"/>
    <n v="3.92"/>
    <x v="0"/>
    <n v="0"/>
  </r>
  <r>
    <s v="ti.28203"/>
    <x v="0"/>
    <x v="0"/>
    <x v="3"/>
    <s v="明石市"/>
    <x v="13"/>
    <x v="10"/>
    <x v="10"/>
    <x v="10"/>
    <x v="10"/>
    <n v="796"/>
    <n v="16.25"/>
    <n v="707"/>
    <n v="24.16"/>
    <n v="89"/>
    <n v="4.53"/>
    <x v="0"/>
    <n v="0"/>
  </r>
  <r>
    <s v="ti.28203"/>
    <x v="0"/>
    <x v="0"/>
    <x v="3"/>
    <s v="明石市"/>
    <x v="13"/>
    <x v="11"/>
    <x v="11"/>
    <x v="11"/>
    <x v="11"/>
    <n v="719"/>
    <n v="14.68"/>
    <n v="569"/>
    <n v="19.45"/>
    <n v="150"/>
    <n v="7.64"/>
    <x v="0"/>
    <n v="0"/>
  </r>
  <r>
    <s v="ti.28203"/>
    <x v="0"/>
    <x v="0"/>
    <x v="3"/>
    <s v="明石市"/>
    <x v="13"/>
    <x v="12"/>
    <x v="12"/>
    <x v="12"/>
    <x v="12"/>
    <n v="242"/>
    <n v="4.9400000000000004"/>
    <n v="196"/>
    <n v="6.7"/>
    <n v="45"/>
    <n v="2.29"/>
    <x v="6"/>
    <n v="12.5"/>
  </r>
  <r>
    <s v="ti.28203"/>
    <x v="0"/>
    <x v="0"/>
    <x v="3"/>
    <s v="明石市"/>
    <x v="13"/>
    <x v="13"/>
    <x v="13"/>
    <x v="13"/>
    <x v="13"/>
    <n v="266"/>
    <n v="5.43"/>
    <n v="183"/>
    <n v="6.25"/>
    <n v="81"/>
    <n v="4.12"/>
    <x v="1"/>
    <n v="25"/>
  </r>
  <r>
    <s v="ti.28203"/>
    <x v="0"/>
    <x v="0"/>
    <x v="3"/>
    <s v="明石市"/>
    <x v="13"/>
    <x v="14"/>
    <x v="14"/>
    <x v="14"/>
    <x v="14"/>
    <n v="130"/>
    <n v="2.65"/>
    <n v="54"/>
    <n v="1.85"/>
    <n v="72"/>
    <n v="3.67"/>
    <x v="16"/>
    <n v="50"/>
  </r>
  <r>
    <s v="ti.28204"/>
    <x v="0"/>
    <x v="0"/>
    <x v="3"/>
    <s v="西宮市"/>
    <x v="14"/>
    <x v="0"/>
    <x v="0"/>
    <x v="0"/>
    <x v="0"/>
    <n v="0"/>
    <n v="0"/>
    <n v="0"/>
    <n v="0"/>
    <n v="0"/>
    <n v="0"/>
    <x v="0"/>
    <n v="0"/>
  </r>
  <r>
    <s v="ti.28204"/>
    <x v="0"/>
    <x v="0"/>
    <x v="3"/>
    <s v="西宮市"/>
    <x v="14"/>
    <x v="1"/>
    <x v="1"/>
    <x v="1"/>
    <x v="1"/>
    <n v="625"/>
    <n v="8.14"/>
    <n v="125"/>
    <n v="2.96"/>
    <n v="500"/>
    <n v="14.56"/>
    <x v="0"/>
    <n v="0"/>
  </r>
  <r>
    <s v="ti.28204"/>
    <x v="0"/>
    <x v="0"/>
    <x v="3"/>
    <s v="西宮市"/>
    <x v="14"/>
    <x v="2"/>
    <x v="2"/>
    <x v="2"/>
    <x v="2"/>
    <n v="249"/>
    <n v="3.24"/>
    <n v="61"/>
    <n v="1.44"/>
    <n v="188"/>
    <n v="5.47"/>
    <x v="0"/>
    <n v="0"/>
  </r>
  <r>
    <s v="ti.28204"/>
    <x v="0"/>
    <x v="0"/>
    <x v="3"/>
    <s v="西宮市"/>
    <x v="14"/>
    <x v="3"/>
    <x v="3"/>
    <x v="3"/>
    <x v="3"/>
    <n v="0"/>
    <n v="0"/>
    <n v="0"/>
    <n v="0"/>
    <n v="0"/>
    <n v="0"/>
    <x v="0"/>
    <n v="0"/>
  </r>
  <r>
    <s v="ti.28204"/>
    <x v="0"/>
    <x v="0"/>
    <x v="3"/>
    <s v="西宮市"/>
    <x v="14"/>
    <x v="4"/>
    <x v="4"/>
    <x v="4"/>
    <x v="4"/>
    <n v="51"/>
    <n v="0.66"/>
    <n v="6"/>
    <n v="0.14000000000000001"/>
    <n v="45"/>
    <n v="1.31"/>
    <x v="0"/>
    <n v="0"/>
  </r>
  <r>
    <s v="ti.28204"/>
    <x v="0"/>
    <x v="0"/>
    <x v="3"/>
    <s v="西宮市"/>
    <x v="14"/>
    <x v="5"/>
    <x v="5"/>
    <x v="5"/>
    <x v="5"/>
    <n v="68"/>
    <n v="0.89"/>
    <n v="10"/>
    <n v="0.24"/>
    <n v="58"/>
    <n v="1.69"/>
    <x v="0"/>
    <n v="0"/>
  </r>
  <r>
    <s v="ti.28204"/>
    <x v="0"/>
    <x v="0"/>
    <x v="3"/>
    <s v="西宮市"/>
    <x v="14"/>
    <x v="6"/>
    <x v="6"/>
    <x v="6"/>
    <x v="6"/>
    <n v="1857"/>
    <n v="24.19"/>
    <n v="922"/>
    <n v="21.8"/>
    <n v="931"/>
    <n v="27.1"/>
    <x v="16"/>
    <n v="33.33"/>
  </r>
  <r>
    <s v="ti.28204"/>
    <x v="0"/>
    <x v="0"/>
    <x v="3"/>
    <s v="西宮市"/>
    <x v="14"/>
    <x v="7"/>
    <x v="7"/>
    <x v="7"/>
    <x v="7"/>
    <n v="52"/>
    <n v="0.68"/>
    <n v="6"/>
    <n v="0.14000000000000001"/>
    <n v="46"/>
    <n v="1.34"/>
    <x v="0"/>
    <n v="0"/>
  </r>
  <r>
    <s v="ti.28204"/>
    <x v="0"/>
    <x v="0"/>
    <x v="3"/>
    <s v="西宮市"/>
    <x v="14"/>
    <x v="8"/>
    <x v="8"/>
    <x v="8"/>
    <x v="8"/>
    <n v="1088"/>
    <n v="14.17"/>
    <n v="394"/>
    <n v="9.31"/>
    <n v="690"/>
    <n v="20.09"/>
    <x v="16"/>
    <n v="33.33"/>
  </r>
  <r>
    <s v="ti.28204"/>
    <x v="0"/>
    <x v="0"/>
    <x v="3"/>
    <s v="西宮市"/>
    <x v="14"/>
    <x v="9"/>
    <x v="9"/>
    <x v="9"/>
    <x v="9"/>
    <n v="378"/>
    <n v="4.92"/>
    <n v="216"/>
    <n v="5.1100000000000003"/>
    <n v="162"/>
    <n v="4.72"/>
    <x v="0"/>
    <n v="0"/>
  </r>
  <r>
    <s v="ti.28204"/>
    <x v="0"/>
    <x v="0"/>
    <x v="3"/>
    <s v="西宮市"/>
    <x v="14"/>
    <x v="10"/>
    <x v="10"/>
    <x v="10"/>
    <x v="10"/>
    <n v="1216"/>
    <n v="15.84"/>
    <n v="1033"/>
    <n v="24.42"/>
    <n v="183"/>
    <n v="5.33"/>
    <x v="0"/>
    <n v="0"/>
  </r>
  <r>
    <s v="ti.28204"/>
    <x v="0"/>
    <x v="0"/>
    <x v="3"/>
    <s v="西宮市"/>
    <x v="14"/>
    <x v="11"/>
    <x v="11"/>
    <x v="11"/>
    <x v="11"/>
    <n v="1035"/>
    <n v="13.48"/>
    <n v="786"/>
    <n v="18.579999999999998"/>
    <n v="249"/>
    <n v="7.25"/>
    <x v="0"/>
    <n v="0"/>
  </r>
  <r>
    <s v="ti.28204"/>
    <x v="0"/>
    <x v="0"/>
    <x v="3"/>
    <s v="西宮市"/>
    <x v="14"/>
    <x v="12"/>
    <x v="12"/>
    <x v="12"/>
    <x v="12"/>
    <n v="375"/>
    <n v="4.88"/>
    <n v="243"/>
    <n v="5.74"/>
    <n v="131"/>
    <n v="3.81"/>
    <x v="6"/>
    <n v="8.33"/>
  </r>
  <r>
    <s v="ti.28204"/>
    <x v="0"/>
    <x v="0"/>
    <x v="3"/>
    <s v="西宮市"/>
    <x v="14"/>
    <x v="13"/>
    <x v="13"/>
    <x v="13"/>
    <x v="13"/>
    <n v="504"/>
    <n v="6.57"/>
    <n v="376"/>
    <n v="8.89"/>
    <n v="127"/>
    <n v="3.7"/>
    <x v="6"/>
    <n v="8.33"/>
  </r>
  <r>
    <s v="ti.28204"/>
    <x v="0"/>
    <x v="0"/>
    <x v="3"/>
    <s v="西宮市"/>
    <x v="14"/>
    <x v="14"/>
    <x v="14"/>
    <x v="14"/>
    <x v="14"/>
    <n v="179"/>
    <n v="2.33"/>
    <n v="52"/>
    <n v="1.23"/>
    <n v="125"/>
    <n v="3.64"/>
    <x v="1"/>
    <n v="16.670000000000002"/>
  </r>
  <r>
    <s v="ti.28205"/>
    <x v="0"/>
    <x v="0"/>
    <x v="3"/>
    <s v="洲本市"/>
    <x v="15"/>
    <x v="0"/>
    <x v="0"/>
    <x v="0"/>
    <x v="0"/>
    <n v="1"/>
    <n v="0.06"/>
    <n v="0"/>
    <n v="0"/>
    <n v="1"/>
    <n v="0.21"/>
    <x v="0"/>
    <n v="0"/>
  </r>
  <r>
    <s v="ti.28205"/>
    <x v="0"/>
    <x v="0"/>
    <x v="3"/>
    <s v="洲本市"/>
    <x v="15"/>
    <x v="1"/>
    <x v="1"/>
    <x v="1"/>
    <x v="1"/>
    <n v="160"/>
    <n v="10.34"/>
    <n v="79"/>
    <n v="7.38"/>
    <n v="81"/>
    <n v="17.05"/>
    <x v="0"/>
    <n v="0"/>
  </r>
  <r>
    <s v="ti.28205"/>
    <x v="0"/>
    <x v="0"/>
    <x v="3"/>
    <s v="洲本市"/>
    <x v="15"/>
    <x v="2"/>
    <x v="2"/>
    <x v="2"/>
    <x v="2"/>
    <n v="116"/>
    <n v="7.49"/>
    <n v="71"/>
    <n v="6.63"/>
    <n v="45"/>
    <n v="9.4700000000000006"/>
    <x v="0"/>
    <n v="0"/>
  </r>
  <r>
    <s v="ti.28205"/>
    <x v="0"/>
    <x v="0"/>
    <x v="3"/>
    <s v="洲本市"/>
    <x v="15"/>
    <x v="3"/>
    <x v="3"/>
    <x v="3"/>
    <x v="3"/>
    <n v="0"/>
    <n v="0"/>
    <n v="0"/>
    <n v="0"/>
    <n v="0"/>
    <n v="0"/>
    <x v="0"/>
    <n v="0"/>
  </r>
  <r>
    <s v="ti.28205"/>
    <x v="0"/>
    <x v="0"/>
    <x v="3"/>
    <s v="洲本市"/>
    <x v="15"/>
    <x v="4"/>
    <x v="4"/>
    <x v="4"/>
    <x v="4"/>
    <n v="12"/>
    <n v="0.78"/>
    <n v="2"/>
    <n v="0.19"/>
    <n v="10"/>
    <n v="2.11"/>
    <x v="0"/>
    <n v="0"/>
  </r>
  <r>
    <s v="ti.28205"/>
    <x v="0"/>
    <x v="0"/>
    <x v="3"/>
    <s v="洲本市"/>
    <x v="15"/>
    <x v="5"/>
    <x v="5"/>
    <x v="5"/>
    <x v="5"/>
    <n v="15"/>
    <n v="0.97"/>
    <n v="4"/>
    <n v="0.37"/>
    <n v="11"/>
    <n v="2.3199999999999998"/>
    <x v="0"/>
    <n v="0"/>
  </r>
  <r>
    <s v="ti.28205"/>
    <x v="0"/>
    <x v="0"/>
    <x v="3"/>
    <s v="洲本市"/>
    <x v="15"/>
    <x v="6"/>
    <x v="6"/>
    <x v="6"/>
    <x v="6"/>
    <n v="436"/>
    <n v="28.17"/>
    <n v="288"/>
    <n v="26.89"/>
    <n v="148"/>
    <n v="31.16"/>
    <x v="0"/>
    <n v="0"/>
  </r>
  <r>
    <s v="ti.28205"/>
    <x v="0"/>
    <x v="0"/>
    <x v="3"/>
    <s v="洲本市"/>
    <x v="15"/>
    <x v="7"/>
    <x v="7"/>
    <x v="7"/>
    <x v="7"/>
    <n v="13"/>
    <n v="0.84"/>
    <n v="2"/>
    <n v="0.19"/>
    <n v="11"/>
    <n v="2.3199999999999998"/>
    <x v="0"/>
    <n v="0"/>
  </r>
  <r>
    <s v="ti.28205"/>
    <x v="0"/>
    <x v="0"/>
    <x v="3"/>
    <s v="洲本市"/>
    <x v="15"/>
    <x v="8"/>
    <x v="8"/>
    <x v="8"/>
    <x v="8"/>
    <n v="140"/>
    <n v="9.0399999999999991"/>
    <n v="83"/>
    <n v="7.75"/>
    <n v="57"/>
    <n v="12"/>
    <x v="0"/>
    <n v="0"/>
  </r>
  <r>
    <s v="ti.28205"/>
    <x v="0"/>
    <x v="0"/>
    <x v="3"/>
    <s v="洲本市"/>
    <x v="15"/>
    <x v="9"/>
    <x v="9"/>
    <x v="9"/>
    <x v="9"/>
    <n v="66"/>
    <n v="4.26"/>
    <n v="49"/>
    <n v="4.58"/>
    <n v="17"/>
    <n v="3.58"/>
    <x v="0"/>
    <n v="0"/>
  </r>
  <r>
    <s v="ti.28205"/>
    <x v="0"/>
    <x v="0"/>
    <x v="3"/>
    <s v="洲本市"/>
    <x v="15"/>
    <x v="10"/>
    <x v="10"/>
    <x v="10"/>
    <x v="10"/>
    <n v="241"/>
    <n v="15.57"/>
    <n v="222"/>
    <n v="20.73"/>
    <n v="19"/>
    <n v="4"/>
    <x v="0"/>
    <n v="0"/>
  </r>
  <r>
    <s v="ti.28205"/>
    <x v="0"/>
    <x v="0"/>
    <x v="3"/>
    <s v="洲本市"/>
    <x v="15"/>
    <x v="11"/>
    <x v="11"/>
    <x v="11"/>
    <x v="11"/>
    <n v="173"/>
    <n v="11.18"/>
    <n v="152"/>
    <n v="14.19"/>
    <n v="21"/>
    <n v="4.42"/>
    <x v="0"/>
    <n v="0"/>
  </r>
  <r>
    <s v="ti.28205"/>
    <x v="0"/>
    <x v="0"/>
    <x v="3"/>
    <s v="洲本市"/>
    <x v="15"/>
    <x v="12"/>
    <x v="12"/>
    <x v="12"/>
    <x v="12"/>
    <n v="48"/>
    <n v="3.1"/>
    <n v="42"/>
    <n v="3.92"/>
    <n v="6"/>
    <n v="1.26"/>
    <x v="0"/>
    <n v="0"/>
  </r>
  <r>
    <s v="ti.28205"/>
    <x v="0"/>
    <x v="0"/>
    <x v="3"/>
    <s v="洲本市"/>
    <x v="15"/>
    <x v="13"/>
    <x v="13"/>
    <x v="13"/>
    <x v="13"/>
    <n v="67"/>
    <n v="4.33"/>
    <n v="46"/>
    <n v="4.3"/>
    <n v="21"/>
    <n v="4.42"/>
    <x v="0"/>
    <n v="0"/>
  </r>
  <r>
    <s v="ti.28205"/>
    <x v="0"/>
    <x v="0"/>
    <x v="3"/>
    <s v="洲本市"/>
    <x v="15"/>
    <x v="14"/>
    <x v="14"/>
    <x v="14"/>
    <x v="14"/>
    <n v="60"/>
    <n v="3.88"/>
    <n v="31"/>
    <n v="2.89"/>
    <n v="27"/>
    <n v="5.68"/>
    <x v="1"/>
    <n v="100"/>
  </r>
  <r>
    <s v="ti.28206"/>
    <x v="0"/>
    <x v="0"/>
    <x v="3"/>
    <s v="芦屋市"/>
    <x v="16"/>
    <x v="0"/>
    <x v="0"/>
    <x v="0"/>
    <x v="0"/>
    <n v="0"/>
    <n v="0"/>
    <n v="0"/>
    <n v="0"/>
    <n v="0"/>
    <n v="0"/>
    <x v="0"/>
    <n v="0"/>
  </r>
  <r>
    <s v="ti.28206"/>
    <x v="0"/>
    <x v="0"/>
    <x v="3"/>
    <s v="芦屋市"/>
    <x v="16"/>
    <x v="1"/>
    <x v="1"/>
    <x v="1"/>
    <x v="1"/>
    <n v="94"/>
    <n v="5.7"/>
    <n v="22"/>
    <n v="2.91"/>
    <n v="72"/>
    <n v="8.1300000000000008"/>
    <x v="0"/>
    <n v="0"/>
  </r>
  <r>
    <s v="ti.28206"/>
    <x v="0"/>
    <x v="0"/>
    <x v="3"/>
    <s v="芦屋市"/>
    <x v="16"/>
    <x v="2"/>
    <x v="2"/>
    <x v="2"/>
    <x v="2"/>
    <n v="34"/>
    <n v="2.06"/>
    <n v="4"/>
    <n v="0.53"/>
    <n v="30"/>
    <n v="3.39"/>
    <x v="0"/>
    <n v="0"/>
  </r>
  <r>
    <s v="ti.28206"/>
    <x v="0"/>
    <x v="0"/>
    <x v="3"/>
    <s v="芦屋市"/>
    <x v="16"/>
    <x v="3"/>
    <x v="3"/>
    <x v="3"/>
    <x v="3"/>
    <n v="0"/>
    <n v="0"/>
    <n v="0"/>
    <n v="0"/>
    <n v="0"/>
    <n v="0"/>
    <x v="0"/>
    <n v="0"/>
  </r>
  <r>
    <s v="ti.28206"/>
    <x v="0"/>
    <x v="0"/>
    <x v="3"/>
    <s v="芦屋市"/>
    <x v="16"/>
    <x v="4"/>
    <x v="4"/>
    <x v="4"/>
    <x v="4"/>
    <n v="18"/>
    <n v="1.0900000000000001"/>
    <n v="2"/>
    <n v="0.26"/>
    <n v="16"/>
    <n v="1.81"/>
    <x v="0"/>
    <n v="0"/>
  </r>
  <r>
    <s v="ti.28206"/>
    <x v="0"/>
    <x v="0"/>
    <x v="3"/>
    <s v="芦屋市"/>
    <x v="16"/>
    <x v="5"/>
    <x v="5"/>
    <x v="5"/>
    <x v="5"/>
    <n v="10"/>
    <n v="0.61"/>
    <n v="3"/>
    <n v="0.4"/>
    <n v="7"/>
    <n v="0.79"/>
    <x v="0"/>
    <n v="0"/>
  </r>
  <r>
    <s v="ti.28206"/>
    <x v="0"/>
    <x v="0"/>
    <x v="3"/>
    <s v="芦屋市"/>
    <x v="16"/>
    <x v="6"/>
    <x v="6"/>
    <x v="6"/>
    <x v="6"/>
    <n v="457"/>
    <n v="27.71"/>
    <n v="205"/>
    <n v="27.08"/>
    <n v="250"/>
    <n v="28.22"/>
    <x v="1"/>
    <n v="33.33"/>
  </r>
  <r>
    <s v="ti.28206"/>
    <x v="0"/>
    <x v="0"/>
    <x v="3"/>
    <s v="芦屋市"/>
    <x v="16"/>
    <x v="7"/>
    <x v="7"/>
    <x v="7"/>
    <x v="7"/>
    <n v="5"/>
    <n v="0.3"/>
    <n v="0"/>
    <n v="0"/>
    <n v="5"/>
    <n v="0.56000000000000005"/>
    <x v="0"/>
    <n v="0"/>
  </r>
  <r>
    <s v="ti.28206"/>
    <x v="0"/>
    <x v="0"/>
    <x v="3"/>
    <s v="芦屋市"/>
    <x v="16"/>
    <x v="8"/>
    <x v="8"/>
    <x v="8"/>
    <x v="8"/>
    <n v="266"/>
    <n v="16.13"/>
    <n v="24"/>
    <n v="3.17"/>
    <n v="240"/>
    <n v="27.09"/>
    <x v="1"/>
    <n v="33.33"/>
  </r>
  <r>
    <s v="ti.28206"/>
    <x v="0"/>
    <x v="0"/>
    <x v="3"/>
    <s v="芦屋市"/>
    <x v="16"/>
    <x v="9"/>
    <x v="9"/>
    <x v="9"/>
    <x v="9"/>
    <n v="109"/>
    <n v="6.61"/>
    <n v="51"/>
    <n v="6.74"/>
    <n v="58"/>
    <n v="6.55"/>
    <x v="0"/>
    <n v="0"/>
  </r>
  <r>
    <s v="ti.28206"/>
    <x v="0"/>
    <x v="0"/>
    <x v="3"/>
    <s v="芦屋市"/>
    <x v="16"/>
    <x v="10"/>
    <x v="10"/>
    <x v="10"/>
    <x v="10"/>
    <n v="216"/>
    <n v="13.1"/>
    <n v="152"/>
    <n v="20.079999999999998"/>
    <n v="64"/>
    <n v="7.22"/>
    <x v="0"/>
    <n v="0"/>
  </r>
  <r>
    <s v="ti.28206"/>
    <x v="0"/>
    <x v="0"/>
    <x v="3"/>
    <s v="芦屋市"/>
    <x v="16"/>
    <x v="11"/>
    <x v="11"/>
    <x v="11"/>
    <x v="11"/>
    <n v="216"/>
    <n v="13.1"/>
    <n v="149"/>
    <n v="19.68"/>
    <n v="67"/>
    <n v="7.56"/>
    <x v="0"/>
    <n v="0"/>
  </r>
  <r>
    <s v="ti.28206"/>
    <x v="0"/>
    <x v="0"/>
    <x v="3"/>
    <s v="芦屋市"/>
    <x v="16"/>
    <x v="12"/>
    <x v="12"/>
    <x v="12"/>
    <x v="12"/>
    <n v="87"/>
    <n v="5.28"/>
    <n v="47"/>
    <n v="6.21"/>
    <n v="39"/>
    <n v="4.4000000000000004"/>
    <x v="6"/>
    <n v="16.670000000000002"/>
  </r>
  <r>
    <s v="ti.28206"/>
    <x v="0"/>
    <x v="0"/>
    <x v="3"/>
    <s v="芦屋市"/>
    <x v="16"/>
    <x v="13"/>
    <x v="13"/>
    <x v="13"/>
    <x v="13"/>
    <n v="108"/>
    <n v="6.55"/>
    <n v="87"/>
    <n v="11.49"/>
    <n v="21"/>
    <n v="2.37"/>
    <x v="0"/>
    <n v="0"/>
  </r>
  <r>
    <s v="ti.28206"/>
    <x v="0"/>
    <x v="0"/>
    <x v="3"/>
    <s v="芦屋市"/>
    <x v="16"/>
    <x v="14"/>
    <x v="14"/>
    <x v="14"/>
    <x v="14"/>
    <n v="29"/>
    <n v="1.76"/>
    <n v="11"/>
    <n v="1.45"/>
    <n v="17"/>
    <n v="1.92"/>
    <x v="6"/>
    <n v="16.670000000000002"/>
  </r>
  <r>
    <s v="ti.28207"/>
    <x v="0"/>
    <x v="0"/>
    <x v="3"/>
    <s v="伊丹市"/>
    <x v="17"/>
    <x v="0"/>
    <x v="0"/>
    <x v="0"/>
    <x v="0"/>
    <n v="0"/>
    <n v="0"/>
    <n v="0"/>
    <n v="0"/>
    <n v="0"/>
    <n v="0"/>
    <x v="0"/>
    <n v="0"/>
  </r>
  <r>
    <s v="ti.28207"/>
    <x v="0"/>
    <x v="0"/>
    <x v="3"/>
    <s v="伊丹市"/>
    <x v="17"/>
    <x v="1"/>
    <x v="1"/>
    <x v="1"/>
    <x v="1"/>
    <n v="386"/>
    <n v="12.56"/>
    <n v="75"/>
    <n v="4.62"/>
    <n v="311"/>
    <n v="21.52"/>
    <x v="0"/>
    <n v="0"/>
  </r>
  <r>
    <s v="ti.28207"/>
    <x v="0"/>
    <x v="0"/>
    <x v="3"/>
    <s v="伊丹市"/>
    <x v="17"/>
    <x v="2"/>
    <x v="2"/>
    <x v="2"/>
    <x v="2"/>
    <n v="254"/>
    <n v="8.27"/>
    <n v="78"/>
    <n v="4.8"/>
    <n v="176"/>
    <n v="12.18"/>
    <x v="0"/>
    <n v="0"/>
  </r>
  <r>
    <s v="ti.28207"/>
    <x v="0"/>
    <x v="0"/>
    <x v="3"/>
    <s v="伊丹市"/>
    <x v="17"/>
    <x v="3"/>
    <x v="3"/>
    <x v="3"/>
    <x v="3"/>
    <n v="0"/>
    <n v="0"/>
    <n v="0"/>
    <n v="0"/>
    <n v="0"/>
    <n v="0"/>
    <x v="0"/>
    <n v="0"/>
  </r>
  <r>
    <s v="ti.28207"/>
    <x v="0"/>
    <x v="0"/>
    <x v="3"/>
    <s v="伊丹市"/>
    <x v="17"/>
    <x v="4"/>
    <x v="4"/>
    <x v="4"/>
    <x v="4"/>
    <n v="15"/>
    <n v="0.49"/>
    <n v="0"/>
    <n v="0"/>
    <n v="15"/>
    <n v="1.04"/>
    <x v="0"/>
    <n v="0"/>
  </r>
  <r>
    <s v="ti.28207"/>
    <x v="0"/>
    <x v="0"/>
    <x v="3"/>
    <s v="伊丹市"/>
    <x v="17"/>
    <x v="5"/>
    <x v="5"/>
    <x v="5"/>
    <x v="5"/>
    <n v="28"/>
    <n v="0.91"/>
    <n v="3"/>
    <n v="0.18"/>
    <n v="25"/>
    <n v="1.73"/>
    <x v="0"/>
    <n v="0"/>
  </r>
  <r>
    <s v="ti.28207"/>
    <x v="0"/>
    <x v="0"/>
    <x v="3"/>
    <s v="伊丹市"/>
    <x v="17"/>
    <x v="6"/>
    <x v="6"/>
    <x v="6"/>
    <x v="6"/>
    <n v="736"/>
    <n v="23.95"/>
    <n v="381"/>
    <n v="23.46"/>
    <n v="352"/>
    <n v="24.36"/>
    <x v="3"/>
    <n v="75"/>
  </r>
  <r>
    <s v="ti.28207"/>
    <x v="0"/>
    <x v="0"/>
    <x v="3"/>
    <s v="伊丹市"/>
    <x v="17"/>
    <x v="7"/>
    <x v="7"/>
    <x v="7"/>
    <x v="7"/>
    <n v="19"/>
    <n v="0.62"/>
    <n v="4"/>
    <n v="0.25"/>
    <n v="15"/>
    <n v="1.04"/>
    <x v="0"/>
    <n v="0"/>
  </r>
  <r>
    <s v="ti.28207"/>
    <x v="0"/>
    <x v="0"/>
    <x v="3"/>
    <s v="伊丹市"/>
    <x v="17"/>
    <x v="8"/>
    <x v="8"/>
    <x v="8"/>
    <x v="8"/>
    <n v="312"/>
    <n v="10.15"/>
    <n v="68"/>
    <n v="4.1900000000000004"/>
    <n v="244"/>
    <n v="16.89"/>
    <x v="0"/>
    <n v="0"/>
  </r>
  <r>
    <s v="ti.28207"/>
    <x v="0"/>
    <x v="0"/>
    <x v="3"/>
    <s v="伊丹市"/>
    <x v="17"/>
    <x v="9"/>
    <x v="9"/>
    <x v="9"/>
    <x v="9"/>
    <n v="115"/>
    <n v="3.74"/>
    <n v="69"/>
    <n v="4.25"/>
    <n v="46"/>
    <n v="3.18"/>
    <x v="0"/>
    <n v="0"/>
  </r>
  <r>
    <s v="ti.28207"/>
    <x v="0"/>
    <x v="0"/>
    <x v="3"/>
    <s v="伊丹市"/>
    <x v="17"/>
    <x v="10"/>
    <x v="10"/>
    <x v="10"/>
    <x v="10"/>
    <n v="440"/>
    <n v="14.32"/>
    <n v="385"/>
    <n v="23.71"/>
    <n v="55"/>
    <n v="3.81"/>
    <x v="0"/>
    <n v="0"/>
  </r>
  <r>
    <s v="ti.28207"/>
    <x v="0"/>
    <x v="0"/>
    <x v="3"/>
    <s v="伊丹市"/>
    <x v="17"/>
    <x v="11"/>
    <x v="11"/>
    <x v="11"/>
    <x v="11"/>
    <n v="404"/>
    <n v="13.15"/>
    <n v="322"/>
    <n v="19.829999999999998"/>
    <n v="82"/>
    <n v="5.67"/>
    <x v="0"/>
    <n v="0"/>
  </r>
  <r>
    <s v="ti.28207"/>
    <x v="0"/>
    <x v="0"/>
    <x v="3"/>
    <s v="伊丹市"/>
    <x v="17"/>
    <x v="12"/>
    <x v="12"/>
    <x v="12"/>
    <x v="12"/>
    <n v="133"/>
    <n v="4.33"/>
    <n v="95"/>
    <n v="5.85"/>
    <n v="37"/>
    <n v="2.56"/>
    <x v="6"/>
    <n v="25"/>
  </r>
  <r>
    <s v="ti.28207"/>
    <x v="0"/>
    <x v="0"/>
    <x v="3"/>
    <s v="伊丹市"/>
    <x v="17"/>
    <x v="13"/>
    <x v="13"/>
    <x v="13"/>
    <x v="13"/>
    <n v="163"/>
    <n v="5.3"/>
    <n v="112"/>
    <n v="6.9"/>
    <n v="51"/>
    <n v="3.53"/>
    <x v="0"/>
    <n v="0"/>
  </r>
  <r>
    <s v="ti.28207"/>
    <x v="0"/>
    <x v="0"/>
    <x v="3"/>
    <s v="伊丹市"/>
    <x v="17"/>
    <x v="14"/>
    <x v="14"/>
    <x v="14"/>
    <x v="14"/>
    <n v="68"/>
    <n v="2.21"/>
    <n v="32"/>
    <n v="1.97"/>
    <n v="36"/>
    <n v="2.4900000000000002"/>
    <x v="0"/>
    <n v="0"/>
  </r>
  <r>
    <s v="ti.28208"/>
    <x v="0"/>
    <x v="0"/>
    <x v="3"/>
    <s v="相生市"/>
    <x v="18"/>
    <x v="0"/>
    <x v="0"/>
    <x v="0"/>
    <x v="0"/>
    <n v="0"/>
    <n v="0"/>
    <n v="0"/>
    <n v="0"/>
    <n v="0"/>
    <n v="0"/>
    <x v="0"/>
    <n v="0"/>
  </r>
  <r>
    <s v="ti.28208"/>
    <x v="0"/>
    <x v="0"/>
    <x v="3"/>
    <s v="相生市"/>
    <x v="18"/>
    <x v="1"/>
    <x v="1"/>
    <x v="1"/>
    <x v="1"/>
    <n v="118"/>
    <n v="14.64"/>
    <n v="55"/>
    <n v="10.199999999999999"/>
    <n v="63"/>
    <n v="23.77"/>
    <x v="0"/>
    <n v="0"/>
  </r>
  <r>
    <s v="ti.28208"/>
    <x v="0"/>
    <x v="0"/>
    <x v="3"/>
    <s v="相生市"/>
    <x v="18"/>
    <x v="2"/>
    <x v="2"/>
    <x v="2"/>
    <x v="2"/>
    <n v="67"/>
    <n v="8.31"/>
    <n v="25"/>
    <n v="4.6399999999999997"/>
    <n v="42"/>
    <n v="15.85"/>
    <x v="0"/>
    <n v="0"/>
  </r>
  <r>
    <s v="ti.28208"/>
    <x v="0"/>
    <x v="0"/>
    <x v="3"/>
    <s v="相生市"/>
    <x v="18"/>
    <x v="3"/>
    <x v="3"/>
    <x v="3"/>
    <x v="3"/>
    <n v="0"/>
    <n v="0"/>
    <n v="0"/>
    <n v="0"/>
    <n v="0"/>
    <n v="0"/>
    <x v="0"/>
    <n v="0"/>
  </r>
  <r>
    <s v="ti.28208"/>
    <x v="0"/>
    <x v="0"/>
    <x v="3"/>
    <s v="相生市"/>
    <x v="18"/>
    <x v="4"/>
    <x v="4"/>
    <x v="4"/>
    <x v="4"/>
    <n v="5"/>
    <n v="0.62"/>
    <n v="1"/>
    <n v="0.19"/>
    <n v="4"/>
    <n v="1.51"/>
    <x v="0"/>
    <n v="0"/>
  </r>
  <r>
    <s v="ti.28208"/>
    <x v="0"/>
    <x v="0"/>
    <x v="3"/>
    <s v="相生市"/>
    <x v="18"/>
    <x v="5"/>
    <x v="5"/>
    <x v="5"/>
    <x v="5"/>
    <n v="15"/>
    <n v="1.86"/>
    <n v="2"/>
    <n v="0.37"/>
    <n v="12"/>
    <n v="4.53"/>
    <x v="6"/>
    <n v="50"/>
  </r>
  <r>
    <s v="ti.28208"/>
    <x v="0"/>
    <x v="0"/>
    <x v="3"/>
    <s v="相生市"/>
    <x v="18"/>
    <x v="6"/>
    <x v="6"/>
    <x v="6"/>
    <x v="6"/>
    <n v="181"/>
    <n v="22.46"/>
    <n v="113"/>
    <n v="20.96"/>
    <n v="68"/>
    <n v="25.66"/>
    <x v="0"/>
    <n v="0"/>
  </r>
  <r>
    <s v="ti.28208"/>
    <x v="0"/>
    <x v="0"/>
    <x v="3"/>
    <s v="相生市"/>
    <x v="18"/>
    <x v="7"/>
    <x v="7"/>
    <x v="7"/>
    <x v="7"/>
    <n v="6"/>
    <n v="0.74"/>
    <n v="2"/>
    <n v="0.37"/>
    <n v="4"/>
    <n v="1.51"/>
    <x v="0"/>
    <n v="0"/>
  </r>
  <r>
    <s v="ti.28208"/>
    <x v="0"/>
    <x v="0"/>
    <x v="3"/>
    <s v="相生市"/>
    <x v="18"/>
    <x v="8"/>
    <x v="8"/>
    <x v="8"/>
    <x v="8"/>
    <n v="90"/>
    <n v="11.17"/>
    <n v="72"/>
    <n v="13.36"/>
    <n v="18"/>
    <n v="6.79"/>
    <x v="0"/>
    <n v="0"/>
  </r>
  <r>
    <s v="ti.28208"/>
    <x v="0"/>
    <x v="0"/>
    <x v="3"/>
    <s v="相生市"/>
    <x v="18"/>
    <x v="9"/>
    <x v="9"/>
    <x v="9"/>
    <x v="9"/>
    <n v="34"/>
    <n v="4.22"/>
    <n v="25"/>
    <n v="4.6399999999999997"/>
    <n v="9"/>
    <n v="3.4"/>
    <x v="0"/>
    <n v="0"/>
  </r>
  <r>
    <s v="ti.28208"/>
    <x v="0"/>
    <x v="0"/>
    <x v="3"/>
    <s v="相生市"/>
    <x v="18"/>
    <x v="10"/>
    <x v="10"/>
    <x v="10"/>
    <x v="10"/>
    <n v="95"/>
    <n v="11.79"/>
    <n v="84"/>
    <n v="15.58"/>
    <n v="11"/>
    <n v="4.1500000000000004"/>
    <x v="0"/>
    <n v="0"/>
  </r>
  <r>
    <s v="ti.28208"/>
    <x v="0"/>
    <x v="0"/>
    <x v="3"/>
    <s v="相生市"/>
    <x v="18"/>
    <x v="11"/>
    <x v="11"/>
    <x v="11"/>
    <x v="11"/>
    <n v="103"/>
    <n v="12.78"/>
    <n v="90"/>
    <n v="16.7"/>
    <n v="12"/>
    <n v="4.53"/>
    <x v="6"/>
    <n v="50"/>
  </r>
  <r>
    <s v="ti.28208"/>
    <x v="0"/>
    <x v="0"/>
    <x v="3"/>
    <s v="相生市"/>
    <x v="18"/>
    <x v="12"/>
    <x v="12"/>
    <x v="12"/>
    <x v="12"/>
    <n v="38"/>
    <n v="4.71"/>
    <n v="33"/>
    <n v="6.12"/>
    <n v="5"/>
    <n v="1.89"/>
    <x v="0"/>
    <n v="0"/>
  </r>
  <r>
    <s v="ti.28208"/>
    <x v="0"/>
    <x v="0"/>
    <x v="3"/>
    <s v="相生市"/>
    <x v="18"/>
    <x v="13"/>
    <x v="13"/>
    <x v="13"/>
    <x v="13"/>
    <n v="30"/>
    <n v="3.72"/>
    <n v="21"/>
    <n v="3.9"/>
    <n v="9"/>
    <n v="3.4"/>
    <x v="0"/>
    <n v="0"/>
  </r>
  <r>
    <s v="ti.28208"/>
    <x v="0"/>
    <x v="0"/>
    <x v="3"/>
    <s v="相生市"/>
    <x v="18"/>
    <x v="14"/>
    <x v="14"/>
    <x v="14"/>
    <x v="14"/>
    <n v="24"/>
    <n v="2.98"/>
    <n v="16"/>
    <n v="2.97"/>
    <n v="8"/>
    <n v="3.02"/>
    <x v="0"/>
    <n v="0"/>
  </r>
  <r>
    <s v="ti.28209"/>
    <x v="0"/>
    <x v="0"/>
    <x v="3"/>
    <s v="豊岡市"/>
    <x v="19"/>
    <x v="0"/>
    <x v="0"/>
    <x v="0"/>
    <x v="0"/>
    <n v="0"/>
    <n v="0"/>
    <n v="0"/>
    <n v="0"/>
    <n v="0"/>
    <n v="0"/>
    <x v="0"/>
    <n v="0"/>
  </r>
  <r>
    <s v="ti.28209"/>
    <x v="0"/>
    <x v="0"/>
    <x v="3"/>
    <s v="豊岡市"/>
    <x v="19"/>
    <x v="1"/>
    <x v="1"/>
    <x v="1"/>
    <x v="1"/>
    <n v="446"/>
    <n v="13.64"/>
    <n v="287"/>
    <n v="11.9"/>
    <n v="159"/>
    <n v="18.93"/>
    <x v="0"/>
    <n v="0"/>
  </r>
  <r>
    <s v="ti.28209"/>
    <x v="0"/>
    <x v="0"/>
    <x v="3"/>
    <s v="豊岡市"/>
    <x v="19"/>
    <x v="2"/>
    <x v="2"/>
    <x v="2"/>
    <x v="2"/>
    <n v="398"/>
    <n v="12.17"/>
    <n v="295"/>
    <n v="12.23"/>
    <n v="102"/>
    <n v="12.14"/>
    <x v="6"/>
    <n v="5.88"/>
  </r>
  <r>
    <s v="ti.28209"/>
    <x v="0"/>
    <x v="0"/>
    <x v="3"/>
    <s v="豊岡市"/>
    <x v="19"/>
    <x v="3"/>
    <x v="3"/>
    <x v="3"/>
    <x v="3"/>
    <n v="2"/>
    <n v="0.06"/>
    <n v="0"/>
    <n v="0"/>
    <n v="2"/>
    <n v="0.24"/>
    <x v="0"/>
    <n v="0"/>
  </r>
  <r>
    <s v="ti.28209"/>
    <x v="0"/>
    <x v="0"/>
    <x v="3"/>
    <s v="豊岡市"/>
    <x v="19"/>
    <x v="4"/>
    <x v="4"/>
    <x v="4"/>
    <x v="4"/>
    <n v="20"/>
    <n v="0.61"/>
    <n v="5"/>
    <n v="0.21"/>
    <n v="15"/>
    <n v="1.79"/>
    <x v="0"/>
    <n v="0"/>
  </r>
  <r>
    <s v="ti.28209"/>
    <x v="0"/>
    <x v="0"/>
    <x v="3"/>
    <s v="豊岡市"/>
    <x v="19"/>
    <x v="5"/>
    <x v="5"/>
    <x v="5"/>
    <x v="5"/>
    <n v="26"/>
    <n v="0.8"/>
    <n v="15"/>
    <n v="0.62"/>
    <n v="8"/>
    <n v="0.95"/>
    <x v="3"/>
    <n v="17.649999999999999"/>
  </r>
  <r>
    <s v="ti.28209"/>
    <x v="0"/>
    <x v="0"/>
    <x v="3"/>
    <s v="豊岡市"/>
    <x v="19"/>
    <x v="6"/>
    <x v="6"/>
    <x v="6"/>
    <x v="6"/>
    <n v="834"/>
    <n v="25.51"/>
    <n v="548"/>
    <n v="22.72"/>
    <n v="285"/>
    <n v="33.93"/>
    <x v="6"/>
    <n v="5.88"/>
  </r>
  <r>
    <s v="ti.28209"/>
    <x v="0"/>
    <x v="0"/>
    <x v="3"/>
    <s v="豊岡市"/>
    <x v="19"/>
    <x v="7"/>
    <x v="7"/>
    <x v="7"/>
    <x v="7"/>
    <n v="23"/>
    <n v="0.7"/>
    <n v="10"/>
    <n v="0.41"/>
    <n v="13"/>
    <n v="1.55"/>
    <x v="0"/>
    <n v="0"/>
  </r>
  <r>
    <s v="ti.28209"/>
    <x v="0"/>
    <x v="0"/>
    <x v="3"/>
    <s v="豊岡市"/>
    <x v="19"/>
    <x v="8"/>
    <x v="8"/>
    <x v="8"/>
    <x v="8"/>
    <n v="168"/>
    <n v="5.14"/>
    <n v="106"/>
    <n v="4.3899999999999997"/>
    <n v="62"/>
    <n v="7.38"/>
    <x v="0"/>
    <n v="0"/>
  </r>
  <r>
    <s v="ti.28209"/>
    <x v="0"/>
    <x v="0"/>
    <x v="3"/>
    <s v="豊岡市"/>
    <x v="19"/>
    <x v="9"/>
    <x v="9"/>
    <x v="9"/>
    <x v="9"/>
    <n v="121"/>
    <n v="3.7"/>
    <n v="88"/>
    <n v="3.65"/>
    <n v="33"/>
    <n v="3.93"/>
    <x v="0"/>
    <n v="0"/>
  </r>
  <r>
    <s v="ti.28209"/>
    <x v="0"/>
    <x v="0"/>
    <x v="3"/>
    <s v="豊岡市"/>
    <x v="19"/>
    <x v="10"/>
    <x v="10"/>
    <x v="10"/>
    <x v="10"/>
    <n v="643"/>
    <n v="19.670000000000002"/>
    <n v="593"/>
    <n v="24.59"/>
    <n v="48"/>
    <n v="5.71"/>
    <x v="1"/>
    <n v="11.76"/>
  </r>
  <r>
    <s v="ti.28209"/>
    <x v="0"/>
    <x v="0"/>
    <x v="3"/>
    <s v="豊岡市"/>
    <x v="19"/>
    <x v="11"/>
    <x v="11"/>
    <x v="11"/>
    <x v="11"/>
    <n v="307"/>
    <n v="9.39"/>
    <n v="271"/>
    <n v="11.24"/>
    <n v="35"/>
    <n v="4.17"/>
    <x v="6"/>
    <n v="5.88"/>
  </r>
  <r>
    <s v="ti.28209"/>
    <x v="0"/>
    <x v="0"/>
    <x v="3"/>
    <s v="豊岡市"/>
    <x v="19"/>
    <x v="12"/>
    <x v="12"/>
    <x v="12"/>
    <x v="12"/>
    <n v="105"/>
    <n v="3.21"/>
    <n v="90"/>
    <n v="3.73"/>
    <n v="12"/>
    <n v="1.43"/>
    <x v="3"/>
    <n v="17.649999999999999"/>
  </r>
  <r>
    <s v="ti.28209"/>
    <x v="0"/>
    <x v="0"/>
    <x v="3"/>
    <s v="豊岡市"/>
    <x v="19"/>
    <x v="13"/>
    <x v="13"/>
    <x v="13"/>
    <x v="13"/>
    <n v="96"/>
    <n v="2.94"/>
    <n v="70"/>
    <n v="2.9"/>
    <n v="26"/>
    <n v="3.1"/>
    <x v="0"/>
    <n v="0"/>
  </r>
  <r>
    <s v="ti.28209"/>
    <x v="0"/>
    <x v="0"/>
    <x v="3"/>
    <s v="豊岡市"/>
    <x v="19"/>
    <x v="14"/>
    <x v="14"/>
    <x v="14"/>
    <x v="14"/>
    <n v="80"/>
    <n v="2.4500000000000002"/>
    <n v="34"/>
    <n v="1.41"/>
    <n v="40"/>
    <n v="4.76"/>
    <x v="19"/>
    <n v="35.29"/>
  </r>
  <r>
    <s v="ti.28210"/>
    <x v="0"/>
    <x v="0"/>
    <x v="3"/>
    <s v="加古川市"/>
    <x v="20"/>
    <x v="0"/>
    <x v="0"/>
    <x v="0"/>
    <x v="0"/>
    <n v="0"/>
    <n v="0"/>
    <n v="0"/>
    <n v="0"/>
    <n v="0"/>
    <n v="0"/>
    <x v="0"/>
    <n v="0"/>
  </r>
  <r>
    <s v="ti.28210"/>
    <x v="0"/>
    <x v="0"/>
    <x v="3"/>
    <s v="加古川市"/>
    <x v="20"/>
    <x v="1"/>
    <x v="1"/>
    <x v="1"/>
    <x v="1"/>
    <n v="620"/>
    <n v="12.98"/>
    <n v="215"/>
    <n v="7.36"/>
    <n v="405"/>
    <n v="21.94"/>
    <x v="0"/>
    <n v="0"/>
  </r>
  <r>
    <s v="ti.28210"/>
    <x v="0"/>
    <x v="0"/>
    <x v="3"/>
    <s v="加古川市"/>
    <x v="20"/>
    <x v="2"/>
    <x v="2"/>
    <x v="2"/>
    <x v="2"/>
    <n v="384"/>
    <n v="8.0399999999999991"/>
    <n v="175"/>
    <n v="5.99"/>
    <n v="209"/>
    <n v="11.32"/>
    <x v="0"/>
    <n v="0"/>
  </r>
  <r>
    <s v="ti.28210"/>
    <x v="0"/>
    <x v="0"/>
    <x v="3"/>
    <s v="加古川市"/>
    <x v="20"/>
    <x v="3"/>
    <x v="3"/>
    <x v="3"/>
    <x v="3"/>
    <n v="1"/>
    <n v="0.02"/>
    <n v="0"/>
    <n v="0"/>
    <n v="1"/>
    <n v="0.05"/>
    <x v="0"/>
    <n v="0"/>
  </r>
  <r>
    <s v="ti.28210"/>
    <x v="0"/>
    <x v="0"/>
    <x v="3"/>
    <s v="加古川市"/>
    <x v="20"/>
    <x v="4"/>
    <x v="4"/>
    <x v="4"/>
    <x v="4"/>
    <n v="29"/>
    <n v="0.61"/>
    <n v="3"/>
    <n v="0.1"/>
    <n v="26"/>
    <n v="1.41"/>
    <x v="0"/>
    <n v="0"/>
  </r>
  <r>
    <s v="ti.28210"/>
    <x v="0"/>
    <x v="0"/>
    <x v="3"/>
    <s v="加古川市"/>
    <x v="20"/>
    <x v="5"/>
    <x v="5"/>
    <x v="5"/>
    <x v="5"/>
    <n v="44"/>
    <n v="0.92"/>
    <n v="10"/>
    <n v="0.34"/>
    <n v="34"/>
    <n v="1.84"/>
    <x v="0"/>
    <n v="0"/>
  </r>
  <r>
    <s v="ti.28210"/>
    <x v="0"/>
    <x v="0"/>
    <x v="3"/>
    <s v="加古川市"/>
    <x v="20"/>
    <x v="6"/>
    <x v="6"/>
    <x v="6"/>
    <x v="6"/>
    <n v="1075"/>
    <n v="22.5"/>
    <n v="548"/>
    <n v="18.77"/>
    <n v="525"/>
    <n v="28.44"/>
    <x v="1"/>
    <n v="16.670000000000002"/>
  </r>
  <r>
    <s v="ti.28210"/>
    <x v="0"/>
    <x v="0"/>
    <x v="3"/>
    <s v="加古川市"/>
    <x v="20"/>
    <x v="7"/>
    <x v="7"/>
    <x v="7"/>
    <x v="7"/>
    <n v="37"/>
    <n v="0.77"/>
    <n v="14"/>
    <n v="0.48"/>
    <n v="23"/>
    <n v="1.25"/>
    <x v="0"/>
    <n v="0"/>
  </r>
  <r>
    <s v="ti.28210"/>
    <x v="0"/>
    <x v="0"/>
    <x v="3"/>
    <s v="加古川市"/>
    <x v="20"/>
    <x v="8"/>
    <x v="8"/>
    <x v="8"/>
    <x v="8"/>
    <n v="500"/>
    <n v="10.46"/>
    <n v="283"/>
    <n v="9.69"/>
    <n v="217"/>
    <n v="11.76"/>
    <x v="0"/>
    <n v="0"/>
  </r>
  <r>
    <s v="ti.28210"/>
    <x v="0"/>
    <x v="0"/>
    <x v="3"/>
    <s v="加古川市"/>
    <x v="20"/>
    <x v="9"/>
    <x v="9"/>
    <x v="9"/>
    <x v="9"/>
    <n v="200"/>
    <n v="4.1900000000000004"/>
    <n v="131"/>
    <n v="4.49"/>
    <n v="69"/>
    <n v="3.74"/>
    <x v="0"/>
    <n v="0"/>
  </r>
  <r>
    <s v="ti.28210"/>
    <x v="0"/>
    <x v="0"/>
    <x v="3"/>
    <s v="加古川市"/>
    <x v="20"/>
    <x v="10"/>
    <x v="10"/>
    <x v="10"/>
    <x v="10"/>
    <n v="662"/>
    <n v="13.86"/>
    <n v="604"/>
    <n v="20.68"/>
    <n v="57"/>
    <n v="3.09"/>
    <x v="6"/>
    <n v="8.33"/>
  </r>
  <r>
    <s v="ti.28210"/>
    <x v="0"/>
    <x v="0"/>
    <x v="3"/>
    <s v="加古川市"/>
    <x v="20"/>
    <x v="11"/>
    <x v="11"/>
    <x v="11"/>
    <x v="11"/>
    <n v="667"/>
    <n v="13.96"/>
    <n v="541"/>
    <n v="18.53"/>
    <n v="125"/>
    <n v="6.77"/>
    <x v="6"/>
    <n v="8.33"/>
  </r>
  <r>
    <s v="ti.28210"/>
    <x v="0"/>
    <x v="0"/>
    <x v="3"/>
    <s v="加古川市"/>
    <x v="20"/>
    <x v="12"/>
    <x v="12"/>
    <x v="12"/>
    <x v="12"/>
    <n v="248"/>
    <n v="5.19"/>
    <n v="206"/>
    <n v="7.05"/>
    <n v="42"/>
    <n v="2.2799999999999998"/>
    <x v="0"/>
    <n v="0"/>
  </r>
  <r>
    <s v="ti.28210"/>
    <x v="0"/>
    <x v="0"/>
    <x v="3"/>
    <s v="加古川市"/>
    <x v="20"/>
    <x v="13"/>
    <x v="13"/>
    <x v="13"/>
    <x v="13"/>
    <n v="177"/>
    <n v="3.7"/>
    <n v="135"/>
    <n v="4.62"/>
    <n v="42"/>
    <n v="2.2799999999999998"/>
    <x v="0"/>
    <n v="0"/>
  </r>
  <r>
    <s v="ti.28210"/>
    <x v="0"/>
    <x v="0"/>
    <x v="3"/>
    <s v="加古川市"/>
    <x v="20"/>
    <x v="14"/>
    <x v="14"/>
    <x v="14"/>
    <x v="14"/>
    <n v="134"/>
    <n v="2.8"/>
    <n v="55"/>
    <n v="1.88"/>
    <n v="71"/>
    <n v="3.85"/>
    <x v="18"/>
    <n v="66.67"/>
  </r>
  <r>
    <s v="ti.28212"/>
    <x v="0"/>
    <x v="0"/>
    <x v="3"/>
    <s v="赤穂市"/>
    <x v="21"/>
    <x v="0"/>
    <x v="0"/>
    <x v="0"/>
    <x v="0"/>
    <n v="1"/>
    <n v="0.1"/>
    <n v="0"/>
    <n v="0"/>
    <n v="1"/>
    <n v="0.26"/>
    <x v="0"/>
    <n v="0"/>
  </r>
  <r>
    <s v="ti.28212"/>
    <x v="0"/>
    <x v="0"/>
    <x v="3"/>
    <s v="赤穂市"/>
    <x v="21"/>
    <x v="1"/>
    <x v="1"/>
    <x v="1"/>
    <x v="1"/>
    <n v="146"/>
    <n v="14.09"/>
    <n v="56"/>
    <n v="8.6199999999999992"/>
    <n v="90"/>
    <n v="23.44"/>
    <x v="0"/>
    <n v="0"/>
  </r>
  <r>
    <s v="ti.28212"/>
    <x v="0"/>
    <x v="0"/>
    <x v="3"/>
    <s v="赤穂市"/>
    <x v="21"/>
    <x v="2"/>
    <x v="2"/>
    <x v="2"/>
    <x v="2"/>
    <n v="70"/>
    <n v="6.76"/>
    <n v="24"/>
    <n v="3.69"/>
    <n v="46"/>
    <n v="11.98"/>
    <x v="0"/>
    <n v="0"/>
  </r>
  <r>
    <s v="ti.28212"/>
    <x v="0"/>
    <x v="0"/>
    <x v="3"/>
    <s v="赤穂市"/>
    <x v="21"/>
    <x v="3"/>
    <x v="3"/>
    <x v="3"/>
    <x v="3"/>
    <n v="1"/>
    <n v="0.1"/>
    <n v="0"/>
    <n v="0"/>
    <n v="1"/>
    <n v="0.26"/>
    <x v="0"/>
    <n v="0"/>
  </r>
  <r>
    <s v="ti.28212"/>
    <x v="0"/>
    <x v="0"/>
    <x v="3"/>
    <s v="赤穂市"/>
    <x v="21"/>
    <x v="4"/>
    <x v="4"/>
    <x v="4"/>
    <x v="4"/>
    <n v="2"/>
    <n v="0.19"/>
    <n v="0"/>
    <n v="0"/>
    <n v="2"/>
    <n v="0.52"/>
    <x v="0"/>
    <n v="0"/>
  </r>
  <r>
    <s v="ti.28212"/>
    <x v="0"/>
    <x v="0"/>
    <x v="3"/>
    <s v="赤穂市"/>
    <x v="21"/>
    <x v="5"/>
    <x v="5"/>
    <x v="5"/>
    <x v="5"/>
    <n v="10"/>
    <n v="0.97"/>
    <n v="4"/>
    <n v="0.62"/>
    <n v="6"/>
    <n v="1.56"/>
    <x v="0"/>
    <n v="0"/>
  </r>
  <r>
    <s v="ti.28212"/>
    <x v="0"/>
    <x v="0"/>
    <x v="3"/>
    <s v="赤穂市"/>
    <x v="21"/>
    <x v="6"/>
    <x v="6"/>
    <x v="6"/>
    <x v="6"/>
    <n v="292"/>
    <n v="28.19"/>
    <n v="172"/>
    <n v="26.46"/>
    <n v="120"/>
    <n v="31.25"/>
    <x v="0"/>
    <n v="0"/>
  </r>
  <r>
    <s v="ti.28212"/>
    <x v="0"/>
    <x v="0"/>
    <x v="3"/>
    <s v="赤穂市"/>
    <x v="21"/>
    <x v="7"/>
    <x v="7"/>
    <x v="7"/>
    <x v="7"/>
    <n v="11"/>
    <n v="1.06"/>
    <n v="0"/>
    <n v="0"/>
    <n v="11"/>
    <n v="2.86"/>
    <x v="0"/>
    <n v="0"/>
  </r>
  <r>
    <s v="ti.28212"/>
    <x v="0"/>
    <x v="0"/>
    <x v="3"/>
    <s v="赤穂市"/>
    <x v="21"/>
    <x v="8"/>
    <x v="8"/>
    <x v="8"/>
    <x v="8"/>
    <n v="78"/>
    <n v="7.53"/>
    <n v="47"/>
    <n v="7.23"/>
    <n v="31"/>
    <n v="8.07"/>
    <x v="0"/>
    <n v="0"/>
  </r>
  <r>
    <s v="ti.28212"/>
    <x v="0"/>
    <x v="0"/>
    <x v="3"/>
    <s v="赤穂市"/>
    <x v="21"/>
    <x v="9"/>
    <x v="9"/>
    <x v="9"/>
    <x v="9"/>
    <n v="34"/>
    <n v="3.28"/>
    <n v="24"/>
    <n v="3.69"/>
    <n v="10"/>
    <n v="2.6"/>
    <x v="0"/>
    <n v="0"/>
  </r>
  <r>
    <s v="ti.28212"/>
    <x v="0"/>
    <x v="0"/>
    <x v="3"/>
    <s v="赤穂市"/>
    <x v="21"/>
    <x v="10"/>
    <x v="10"/>
    <x v="10"/>
    <x v="10"/>
    <n v="138"/>
    <n v="13.32"/>
    <n v="121"/>
    <n v="18.62"/>
    <n v="15"/>
    <n v="3.91"/>
    <x v="1"/>
    <n v="100"/>
  </r>
  <r>
    <s v="ti.28212"/>
    <x v="0"/>
    <x v="0"/>
    <x v="3"/>
    <s v="赤穂市"/>
    <x v="21"/>
    <x v="11"/>
    <x v="11"/>
    <x v="11"/>
    <x v="11"/>
    <n v="144"/>
    <n v="13.9"/>
    <n v="127"/>
    <n v="19.54"/>
    <n v="17"/>
    <n v="4.43"/>
    <x v="0"/>
    <n v="0"/>
  </r>
  <r>
    <s v="ti.28212"/>
    <x v="0"/>
    <x v="0"/>
    <x v="3"/>
    <s v="赤穂市"/>
    <x v="21"/>
    <x v="12"/>
    <x v="12"/>
    <x v="12"/>
    <x v="12"/>
    <n v="42"/>
    <n v="4.05"/>
    <n v="32"/>
    <n v="4.92"/>
    <n v="10"/>
    <n v="2.6"/>
    <x v="0"/>
    <n v="0"/>
  </r>
  <r>
    <s v="ti.28212"/>
    <x v="0"/>
    <x v="0"/>
    <x v="3"/>
    <s v="赤穂市"/>
    <x v="21"/>
    <x v="13"/>
    <x v="13"/>
    <x v="13"/>
    <x v="13"/>
    <n v="38"/>
    <n v="3.67"/>
    <n v="28"/>
    <n v="4.3099999999999996"/>
    <n v="10"/>
    <n v="2.6"/>
    <x v="0"/>
    <n v="0"/>
  </r>
  <r>
    <s v="ti.28212"/>
    <x v="0"/>
    <x v="0"/>
    <x v="3"/>
    <s v="赤穂市"/>
    <x v="21"/>
    <x v="14"/>
    <x v="14"/>
    <x v="14"/>
    <x v="14"/>
    <n v="29"/>
    <n v="2.8"/>
    <n v="15"/>
    <n v="2.31"/>
    <n v="14"/>
    <n v="3.65"/>
    <x v="0"/>
    <n v="0"/>
  </r>
  <r>
    <s v="ti.28213"/>
    <x v="0"/>
    <x v="0"/>
    <x v="3"/>
    <s v="西脇市"/>
    <x v="22"/>
    <x v="0"/>
    <x v="0"/>
    <x v="0"/>
    <x v="0"/>
    <n v="0"/>
    <n v="0"/>
    <n v="0"/>
    <n v="0"/>
    <n v="0"/>
    <n v="0"/>
    <x v="0"/>
    <n v="0"/>
  </r>
  <r>
    <s v="ti.28213"/>
    <x v="0"/>
    <x v="0"/>
    <x v="3"/>
    <s v="西脇市"/>
    <x v="22"/>
    <x v="1"/>
    <x v="1"/>
    <x v="1"/>
    <x v="1"/>
    <n v="188"/>
    <n v="12.53"/>
    <n v="106"/>
    <n v="10.86"/>
    <n v="82"/>
    <n v="15.83"/>
    <x v="0"/>
    <n v="0"/>
  </r>
  <r>
    <s v="ti.28213"/>
    <x v="0"/>
    <x v="0"/>
    <x v="3"/>
    <s v="西脇市"/>
    <x v="22"/>
    <x v="2"/>
    <x v="2"/>
    <x v="2"/>
    <x v="2"/>
    <n v="350"/>
    <n v="23.33"/>
    <n v="211"/>
    <n v="21.62"/>
    <n v="139"/>
    <n v="26.83"/>
    <x v="0"/>
    <n v="0"/>
  </r>
  <r>
    <s v="ti.28213"/>
    <x v="0"/>
    <x v="0"/>
    <x v="3"/>
    <s v="西脇市"/>
    <x v="22"/>
    <x v="3"/>
    <x v="3"/>
    <x v="3"/>
    <x v="3"/>
    <n v="0"/>
    <n v="0"/>
    <n v="0"/>
    <n v="0"/>
    <n v="0"/>
    <n v="0"/>
    <x v="0"/>
    <n v="0"/>
  </r>
  <r>
    <s v="ti.28213"/>
    <x v="0"/>
    <x v="0"/>
    <x v="3"/>
    <s v="西脇市"/>
    <x v="22"/>
    <x v="4"/>
    <x v="4"/>
    <x v="4"/>
    <x v="4"/>
    <n v="6"/>
    <n v="0.4"/>
    <n v="2"/>
    <n v="0.2"/>
    <n v="4"/>
    <n v="0.77"/>
    <x v="0"/>
    <n v="0"/>
  </r>
  <r>
    <s v="ti.28213"/>
    <x v="0"/>
    <x v="0"/>
    <x v="3"/>
    <s v="西脇市"/>
    <x v="22"/>
    <x v="5"/>
    <x v="5"/>
    <x v="5"/>
    <x v="5"/>
    <n v="12"/>
    <n v="0.8"/>
    <n v="3"/>
    <n v="0.31"/>
    <n v="9"/>
    <n v="1.74"/>
    <x v="0"/>
    <n v="0"/>
  </r>
  <r>
    <s v="ti.28213"/>
    <x v="0"/>
    <x v="0"/>
    <x v="3"/>
    <s v="西脇市"/>
    <x v="22"/>
    <x v="6"/>
    <x v="6"/>
    <x v="6"/>
    <x v="6"/>
    <n v="379"/>
    <n v="25.27"/>
    <n v="230"/>
    <n v="23.57"/>
    <n v="148"/>
    <n v="28.57"/>
    <x v="6"/>
    <n v="16.670000000000002"/>
  </r>
  <r>
    <s v="ti.28213"/>
    <x v="0"/>
    <x v="0"/>
    <x v="3"/>
    <s v="西脇市"/>
    <x v="22"/>
    <x v="7"/>
    <x v="7"/>
    <x v="7"/>
    <x v="7"/>
    <n v="14"/>
    <n v="0.93"/>
    <n v="7"/>
    <n v="0.72"/>
    <n v="7"/>
    <n v="1.35"/>
    <x v="0"/>
    <n v="0"/>
  </r>
  <r>
    <s v="ti.28213"/>
    <x v="0"/>
    <x v="0"/>
    <x v="3"/>
    <s v="西脇市"/>
    <x v="22"/>
    <x v="8"/>
    <x v="8"/>
    <x v="8"/>
    <x v="8"/>
    <n v="55"/>
    <n v="3.67"/>
    <n v="23"/>
    <n v="2.36"/>
    <n v="32"/>
    <n v="6.18"/>
    <x v="0"/>
    <n v="0"/>
  </r>
  <r>
    <s v="ti.28213"/>
    <x v="0"/>
    <x v="0"/>
    <x v="3"/>
    <s v="西脇市"/>
    <x v="22"/>
    <x v="9"/>
    <x v="9"/>
    <x v="9"/>
    <x v="9"/>
    <n v="53"/>
    <n v="3.53"/>
    <n v="40"/>
    <n v="4.0999999999999996"/>
    <n v="13"/>
    <n v="2.5099999999999998"/>
    <x v="0"/>
    <n v="0"/>
  </r>
  <r>
    <s v="ti.28213"/>
    <x v="0"/>
    <x v="0"/>
    <x v="3"/>
    <s v="西脇市"/>
    <x v="22"/>
    <x v="10"/>
    <x v="10"/>
    <x v="10"/>
    <x v="10"/>
    <n v="158"/>
    <n v="10.53"/>
    <n v="145"/>
    <n v="14.86"/>
    <n v="12"/>
    <n v="2.3199999999999998"/>
    <x v="6"/>
    <n v="16.670000000000002"/>
  </r>
  <r>
    <s v="ti.28213"/>
    <x v="0"/>
    <x v="0"/>
    <x v="3"/>
    <s v="西脇市"/>
    <x v="22"/>
    <x v="11"/>
    <x v="11"/>
    <x v="11"/>
    <x v="11"/>
    <n v="162"/>
    <n v="10.8"/>
    <n v="131"/>
    <n v="13.42"/>
    <n v="31"/>
    <n v="5.98"/>
    <x v="0"/>
    <n v="0"/>
  </r>
  <r>
    <s v="ti.28213"/>
    <x v="0"/>
    <x v="0"/>
    <x v="3"/>
    <s v="西脇市"/>
    <x v="22"/>
    <x v="12"/>
    <x v="12"/>
    <x v="12"/>
    <x v="12"/>
    <n v="42"/>
    <n v="2.8"/>
    <n v="34"/>
    <n v="3.48"/>
    <n v="8"/>
    <n v="1.54"/>
    <x v="0"/>
    <n v="0"/>
  </r>
  <r>
    <s v="ti.28213"/>
    <x v="0"/>
    <x v="0"/>
    <x v="3"/>
    <s v="西脇市"/>
    <x v="22"/>
    <x v="13"/>
    <x v="13"/>
    <x v="13"/>
    <x v="13"/>
    <n v="33"/>
    <n v="2.2000000000000002"/>
    <n v="24"/>
    <n v="2.46"/>
    <n v="7"/>
    <n v="1.35"/>
    <x v="1"/>
    <n v="33.33"/>
  </r>
  <r>
    <s v="ti.28213"/>
    <x v="0"/>
    <x v="0"/>
    <x v="3"/>
    <s v="西脇市"/>
    <x v="22"/>
    <x v="14"/>
    <x v="14"/>
    <x v="14"/>
    <x v="14"/>
    <n v="48"/>
    <n v="3.2"/>
    <n v="20"/>
    <n v="2.0499999999999998"/>
    <n v="26"/>
    <n v="5.0199999999999996"/>
    <x v="1"/>
    <n v="33.33"/>
  </r>
  <r>
    <s v="ti.28214"/>
    <x v="0"/>
    <x v="0"/>
    <x v="3"/>
    <s v="宝塚市"/>
    <x v="23"/>
    <x v="0"/>
    <x v="0"/>
    <x v="0"/>
    <x v="0"/>
    <n v="0"/>
    <n v="0"/>
    <n v="0"/>
    <n v="0"/>
    <n v="0"/>
    <n v="0"/>
    <x v="0"/>
    <n v="0"/>
  </r>
  <r>
    <s v="ti.28214"/>
    <x v="0"/>
    <x v="0"/>
    <x v="3"/>
    <s v="宝塚市"/>
    <x v="23"/>
    <x v="1"/>
    <x v="1"/>
    <x v="1"/>
    <x v="1"/>
    <n v="361"/>
    <n v="11.91"/>
    <n v="88"/>
    <n v="5.56"/>
    <n v="273"/>
    <n v="18.96"/>
    <x v="0"/>
    <n v="0"/>
  </r>
  <r>
    <s v="ti.28214"/>
    <x v="0"/>
    <x v="0"/>
    <x v="3"/>
    <s v="宝塚市"/>
    <x v="23"/>
    <x v="2"/>
    <x v="2"/>
    <x v="2"/>
    <x v="2"/>
    <n v="93"/>
    <n v="3.07"/>
    <n v="35"/>
    <n v="2.21"/>
    <n v="58"/>
    <n v="4.03"/>
    <x v="0"/>
    <n v="0"/>
  </r>
  <r>
    <s v="ti.28214"/>
    <x v="0"/>
    <x v="0"/>
    <x v="3"/>
    <s v="宝塚市"/>
    <x v="23"/>
    <x v="3"/>
    <x v="3"/>
    <x v="3"/>
    <x v="3"/>
    <n v="1"/>
    <n v="0.03"/>
    <n v="1"/>
    <n v="0.06"/>
    <n v="0"/>
    <n v="0"/>
    <x v="0"/>
    <n v="0"/>
  </r>
  <r>
    <s v="ti.28214"/>
    <x v="0"/>
    <x v="0"/>
    <x v="3"/>
    <s v="宝塚市"/>
    <x v="23"/>
    <x v="4"/>
    <x v="4"/>
    <x v="4"/>
    <x v="4"/>
    <n v="29"/>
    <n v="0.96"/>
    <n v="3"/>
    <n v="0.19"/>
    <n v="25"/>
    <n v="1.74"/>
    <x v="6"/>
    <n v="14.29"/>
  </r>
  <r>
    <s v="ti.28214"/>
    <x v="0"/>
    <x v="0"/>
    <x v="3"/>
    <s v="宝塚市"/>
    <x v="23"/>
    <x v="5"/>
    <x v="5"/>
    <x v="5"/>
    <x v="5"/>
    <n v="13"/>
    <n v="0.43"/>
    <n v="1"/>
    <n v="0.06"/>
    <n v="11"/>
    <n v="0.76"/>
    <x v="6"/>
    <n v="14.29"/>
  </r>
  <r>
    <s v="ti.28214"/>
    <x v="0"/>
    <x v="0"/>
    <x v="3"/>
    <s v="宝塚市"/>
    <x v="23"/>
    <x v="6"/>
    <x v="6"/>
    <x v="6"/>
    <x v="6"/>
    <n v="765"/>
    <n v="25.25"/>
    <n v="395"/>
    <n v="24.95"/>
    <n v="370"/>
    <n v="25.69"/>
    <x v="0"/>
    <n v="0"/>
  </r>
  <r>
    <s v="ti.28214"/>
    <x v="0"/>
    <x v="0"/>
    <x v="3"/>
    <s v="宝塚市"/>
    <x v="23"/>
    <x v="7"/>
    <x v="7"/>
    <x v="7"/>
    <x v="7"/>
    <n v="19"/>
    <n v="0.63"/>
    <n v="1"/>
    <n v="0.06"/>
    <n v="18"/>
    <n v="1.25"/>
    <x v="0"/>
    <n v="0"/>
  </r>
  <r>
    <s v="ti.28214"/>
    <x v="0"/>
    <x v="0"/>
    <x v="3"/>
    <s v="宝塚市"/>
    <x v="23"/>
    <x v="8"/>
    <x v="8"/>
    <x v="8"/>
    <x v="8"/>
    <n v="404"/>
    <n v="13.33"/>
    <n v="109"/>
    <n v="6.89"/>
    <n v="294"/>
    <n v="20.420000000000002"/>
    <x v="6"/>
    <n v="14.29"/>
  </r>
  <r>
    <s v="ti.28214"/>
    <x v="0"/>
    <x v="0"/>
    <x v="3"/>
    <s v="宝塚市"/>
    <x v="23"/>
    <x v="9"/>
    <x v="9"/>
    <x v="9"/>
    <x v="9"/>
    <n v="157"/>
    <n v="5.18"/>
    <n v="88"/>
    <n v="5.56"/>
    <n v="69"/>
    <n v="4.79"/>
    <x v="0"/>
    <n v="0"/>
  </r>
  <r>
    <s v="ti.28214"/>
    <x v="0"/>
    <x v="0"/>
    <x v="3"/>
    <s v="宝塚市"/>
    <x v="23"/>
    <x v="10"/>
    <x v="10"/>
    <x v="10"/>
    <x v="10"/>
    <n v="377"/>
    <n v="12.44"/>
    <n v="319"/>
    <n v="20.149999999999999"/>
    <n v="58"/>
    <n v="4.03"/>
    <x v="0"/>
    <n v="0"/>
  </r>
  <r>
    <s v="ti.28214"/>
    <x v="0"/>
    <x v="0"/>
    <x v="3"/>
    <s v="宝塚市"/>
    <x v="23"/>
    <x v="11"/>
    <x v="11"/>
    <x v="11"/>
    <x v="11"/>
    <n v="365"/>
    <n v="12.05"/>
    <n v="272"/>
    <n v="17.18"/>
    <n v="93"/>
    <n v="6.46"/>
    <x v="0"/>
    <n v="0"/>
  </r>
  <r>
    <s v="ti.28214"/>
    <x v="0"/>
    <x v="0"/>
    <x v="3"/>
    <s v="宝塚市"/>
    <x v="23"/>
    <x v="12"/>
    <x v="12"/>
    <x v="12"/>
    <x v="12"/>
    <n v="165"/>
    <n v="5.45"/>
    <n v="115"/>
    <n v="7.26"/>
    <n v="50"/>
    <n v="3.47"/>
    <x v="0"/>
    <n v="0"/>
  </r>
  <r>
    <s v="ti.28214"/>
    <x v="0"/>
    <x v="0"/>
    <x v="3"/>
    <s v="宝塚市"/>
    <x v="23"/>
    <x v="13"/>
    <x v="13"/>
    <x v="13"/>
    <x v="13"/>
    <n v="194"/>
    <n v="6.4"/>
    <n v="128"/>
    <n v="8.09"/>
    <n v="66"/>
    <n v="4.58"/>
    <x v="0"/>
    <n v="0"/>
  </r>
  <r>
    <s v="ti.28214"/>
    <x v="0"/>
    <x v="0"/>
    <x v="3"/>
    <s v="宝塚市"/>
    <x v="23"/>
    <x v="14"/>
    <x v="14"/>
    <x v="14"/>
    <x v="14"/>
    <n v="87"/>
    <n v="2.87"/>
    <n v="28"/>
    <n v="1.77"/>
    <n v="55"/>
    <n v="3.82"/>
    <x v="16"/>
    <n v="57.14"/>
  </r>
  <r>
    <s v="ti.28215"/>
    <x v="0"/>
    <x v="0"/>
    <x v="3"/>
    <s v="三木市"/>
    <x v="24"/>
    <x v="0"/>
    <x v="0"/>
    <x v="0"/>
    <x v="0"/>
    <n v="0"/>
    <n v="0"/>
    <n v="0"/>
    <n v="0"/>
    <n v="0"/>
    <n v="0"/>
    <x v="0"/>
    <n v="0"/>
  </r>
  <r>
    <s v="ti.28215"/>
    <x v="0"/>
    <x v="0"/>
    <x v="3"/>
    <s v="三木市"/>
    <x v="24"/>
    <x v="1"/>
    <x v="1"/>
    <x v="1"/>
    <x v="1"/>
    <n v="257"/>
    <n v="13.49"/>
    <n v="131"/>
    <n v="10.79"/>
    <n v="126"/>
    <n v="18.309999999999999"/>
    <x v="0"/>
    <n v="0"/>
  </r>
  <r>
    <s v="ti.28215"/>
    <x v="0"/>
    <x v="0"/>
    <x v="3"/>
    <s v="三木市"/>
    <x v="24"/>
    <x v="2"/>
    <x v="2"/>
    <x v="2"/>
    <x v="2"/>
    <n v="363"/>
    <n v="19.059999999999999"/>
    <n v="193"/>
    <n v="15.9"/>
    <n v="170"/>
    <n v="24.71"/>
    <x v="0"/>
    <n v="0"/>
  </r>
  <r>
    <s v="ti.28215"/>
    <x v="0"/>
    <x v="0"/>
    <x v="3"/>
    <s v="三木市"/>
    <x v="24"/>
    <x v="3"/>
    <x v="3"/>
    <x v="3"/>
    <x v="3"/>
    <n v="1"/>
    <n v="0.05"/>
    <n v="0"/>
    <n v="0"/>
    <n v="1"/>
    <n v="0.15"/>
    <x v="0"/>
    <n v="0"/>
  </r>
  <r>
    <s v="ti.28215"/>
    <x v="0"/>
    <x v="0"/>
    <x v="3"/>
    <s v="三木市"/>
    <x v="24"/>
    <x v="4"/>
    <x v="4"/>
    <x v="4"/>
    <x v="4"/>
    <n v="5"/>
    <n v="0.26"/>
    <n v="0"/>
    <n v="0"/>
    <n v="5"/>
    <n v="0.73"/>
    <x v="0"/>
    <n v="0"/>
  </r>
  <r>
    <s v="ti.28215"/>
    <x v="0"/>
    <x v="0"/>
    <x v="3"/>
    <s v="三木市"/>
    <x v="24"/>
    <x v="5"/>
    <x v="5"/>
    <x v="5"/>
    <x v="5"/>
    <n v="19"/>
    <n v="1"/>
    <n v="3"/>
    <n v="0.25"/>
    <n v="16"/>
    <n v="2.33"/>
    <x v="0"/>
    <n v="0"/>
  </r>
  <r>
    <s v="ti.28215"/>
    <x v="0"/>
    <x v="0"/>
    <x v="3"/>
    <s v="三木市"/>
    <x v="24"/>
    <x v="6"/>
    <x v="6"/>
    <x v="6"/>
    <x v="6"/>
    <n v="504"/>
    <n v="26.46"/>
    <n v="300"/>
    <n v="24.71"/>
    <n v="201"/>
    <n v="29.22"/>
    <x v="3"/>
    <n v="100"/>
  </r>
  <r>
    <s v="ti.28215"/>
    <x v="0"/>
    <x v="0"/>
    <x v="3"/>
    <s v="三木市"/>
    <x v="24"/>
    <x v="7"/>
    <x v="7"/>
    <x v="7"/>
    <x v="7"/>
    <n v="9"/>
    <n v="0.47"/>
    <n v="1"/>
    <n v="0.08"/>
    <n v="8"/>
    <n v="1.1599999999999999"/>
    <x v="0"/>
    <n v="0"/>
  </r>
  <r>
    <s v="ti.28215"/>
    <x v="0"/>
    <x v="0"/>
    <x v="3"/>
    <s v="三木市"/>
    <x v="24"/>
    <x v="8"/>
    <x v="8"/>
    <x v="8"/>
    <x v="8"/>
    <n v="62"/>
    <n v="3.25"/>
    <n v="25"/>
    <n v="2.06"/>
    <n v="37"/>
    <n v="5.38"/>
    <x v="0"/>
    <n v="0"/>
  </r>
  <r>
    <s v="ti.28215"/>
    <x v="0"/>
    <x v="0"/>
    <x v="3"/>
    <s v="三木市"/>
    <x v="24"/>
    <x v="9"/>
    <x v="9"/>
    <x v="9"/>
    <x v="9"/>
    <n v="47"/>
    <n v="2.4700000000000002"/>
    <n v="35"/>
    <n v="2.88"/>
    <n v="12"/>
    <n v="1.74"/>
    <x v="0"/>
    <n v="0"/>
  </r>
  <r>
    <s v="ti.28215"/>
    <x v="0"/>
    <x v="0"/>
    <x v="3"/>
    <s v="三木市"/>
    <x v="24"/>
    <x v="10"/>
    <x v="10"/>
    <x v="10"/>
    <x v="10"/>
    <n v="234"/>
    <n v="12.28"/>
    <n v="206"/>
    <n v="16.97"/>
    <n v="28"/>
    <n v="4.07"/>
    <x v="0"/>
    <n v="0"/>
  </r>
  <r>
    <s v="ti.28215"/>
    <x v="0"/>
    <x v="0"/>
    <x v="3"/>
    <s v="三木市"/>
    <x v="24"/>
    <x v="11"/>
    <x v="11"/>
    <x v="11"/>
    <x v="11"/>
    <n v="208"/>
    <n v="10.92"/>
    <n v="173"/>
    <n v="14.25"/>
    <n v="35"/>
    <n v="5.09"/>
    <x v="0"/>
    <n v="0"/>
  </r>
  <r>
    <s v="ti.28215"/>
    <x v="0"/>
    <x v="0"/>
    <x v="3"/>
    <s v="三木市"/>
    <x v="24"/>
    <x v="12"/>
    <x v="12"/>
    <x v="12"/>
    <x v="12"/>
    <n v="73"/>
    <n v="3.83"/>
    <n v="59"/>
    <n v="4.8600000000000003"/>
    <n v="14"/>
    <n v="2.0299999999999998"/>
    <x v="0"/>
    <n v="0"/>
  </r>
  <r>
    <s v="ti.28215"/>
    <x v="0"/>
    <x v="0"/>
    <x v="3"/>
    <s v="三木市"/>
    <x v="24"/>
    <x v="13"/>
    <x v="13"/>
    <x v="13"/>
    <x v="13"/>
    <n v="67"/>
    <n v="3.52"/>
    <n v="53"/>
    <n v="4.37"/>
    <n v="14"/>
    <n v="2.0299999999999998"/>
    <x v="0"/>
    <n v="0"/>
  </r>
  <r>
    <s v="ti.28215"/>
    <x v="0"/>
    <x v="0"/>
    <x v="3"/>
    <s v="三木市"/>
    <x v="24"/>
    <x v="14"/>
    <x v="14"/>
    <x v="14"/>
    <x v="14"/>
    <n v="56"/>
    <n v="2.94"/>
    <n v="35"/>
    <n v="2.88"/>
    <n v="21"/>
    <n v="3.05"/>
    <x v="0"/>
    <n v="0"/>
  </r>
  <r>
    <s v="ti.28216"/>
    <x v="0"/>
    <x v="0"/>
    <x v="3"/>
    <s v="高砂市"/>
    <x v="25"/>
    <x v="0"/>
    <x v="0"/>
    <x v="0"/>
    <x v="0"/>
    <n v="1"/>
    <n v="0.05"/>
    <n v="1"/>
    <n v="0.08"/>
    <n v="0"/>
    <n v="0"/>
    <x v="0"/>
    <m/>
  </r>
  <r>
    <s v="ti.28216"/>
    <x v="0"/>
    <x v="0"/>
    <x v="3"/>
    <s v="高砂市"/>
    <x v="25"/>
    <x v="1"/>
    <x v="1"/>
    <x v="1"/>
    <x v="1"/>
    <n v="291"/>
    <n v="15.65"/>
    <n v="104"/>
    <n v="8.65"/>
    <n v="187"/>
    <n v="28.46"/>
    <x v="0"/>
    <m/>
  </r>
  <r>
    <s v="ti.28216"/>
    <x v="0"/>
    <x v="0"/>
    <x v="3"/>
    <s v="高砂市"/>
    <x v="25"/>
    <x v="2"/>
    <x v="2"/>
    <x v="2"/>
    <x v="2"/>
    <n v="122"/>
    <n v="6.56"/>
    <n v="51"/>
    <n v="4.24"/>
    <n v="71"/>
    <n v="10.81"/>
    <x v="0"/>
    <m/>
  </r>
  <r>
    <s v="ti.28216"/>
    <x v="0"/>
    <x v="0"/>
    <x v="3"/>
    <s v="高砂市"/>
    <x v="25"/>
    <x v="3"/>
    <x v="3"/>
    <x v="3"/>
    <x v="3"/>
    <n v="0"/>
    <n v="0"/>
    <n v="0"/>
    <n v="0"/>
    <n v="0"/>
    <n v="0"/>
    <x v="0"/>
    <m/>
  </r>
  <r>
    <s v="ti.28216"/>
    <x v="0"/>
    <x v="0"/>
    <x v="3"/>
    <s v="高砂市"/>
    <x v="25"/>
    <x v="4"/>
    <x v="4"/>
    <x v="4"/>
    <x v="4"/>
    <n v="4"/>
    <n v="0.22"/>
    <n v="1"/>
    <n v="0.08"/>
    <n v="3"/>
    <n v="0.46"/>
    <x v="0"/>
    <m/>
  </r>
  <r>
    <s v="ti.28216"/>
    <x v="0"/>
    <x v="0"/>
    <x v="3"/>
    <s v="高砂市"/>
    <x v="25"/>
    <x v="5"/>
    <x v="5"/>
    <x v="5"/>
    <x v="5"/>
    <n v="19"/>
    <n v="1.02"/>
    <n v="4"/>
    <n v="0.33"/>
    <n v="15"/>
    <n v="2.2799999999999998"/>
    <x v="0"/>
    <m/>
  </r>
  <r>
    <s v="ti.28216"/>
    <x v="0"/>
    <x v="0"/>
    <x v="3"/>
    <s v="高砂市"/>
    <x v="25"/>
    <x v="6"/>
    <x v="6"/>
    <x v="6"/>
    <x v="6"/>
    <n v="430"/>
    <n v="23.13"/>
    <n v="269"/>
    <n v="22.38"/>
    <n v="161"/>
    <n v="24.51"/>
    <x v="0"/>
    <m/>
  </r>
  <r>
    <s v="ti.28216"/>
    <x v="0"/>
    <x v="0"/>
    <x v="3"/>
    <s v="高砂市"/>
    <x v="25"/>
    <x v="7"/>
    <x v="7"/>
    <x v="7"/>
    <x v="7"/>
    <n v="14"/>
    <n v="0.75"/>
    <n v="7"/>
    <n v="0.57999999999999996"/>
    <n v="7"/>
    <n v="1.07"/>
    <x v="0"/>
    <m/>
  </r>
  <r>
    <s v="ti.28216"/>
    <x v="0"/>
    <x v="0"/>
    <x v="3"/>
    <s v="高砂市"/>
    <x v="25"/>
    <x v="8"/>
    <x v="8"/>
    <x v="8"/>
    <x v="8"/>
    <n v="113"/>
    <n v="6.08"/>
    <n v="62"/>
    <n v="5.16"/>
    <n v="51"/>
    <n v="7.76"/>
    <x v="0"/>
    <m/>
  </r>
  <r>
    <s v="ti.28216"/>
    <x v="0"/>
    <x v="0"/>
    <x v="3"/>
    <s v="高砂市"/>
    <x v="25"/>
    <x v="9"/>
    <x v="9"/>
    <x v="9"/>
    <x v="9"/>
    <n v="80"/>
    <n v="4.3"/>
    <n v="53"/>
    <n v="4.41"/>
    <n v="27"/>
    <n v="4.1100000000000003"/>
    <x v="0"/>
    <m/>
  </r>
  <r>
    <s v="ti.28216"/>
    <x v="0"/>
    <x v="0"/>
    <x v="3"/>
    <s v="高砂市"/>
    <x v="25"/>
    <x v="10"/>
    <x v="10"/>
    <x v="10"/>
    <x v="10"/>
    <n v="324"/>
    <n v="17.43"/>
    <n v="291"/>
    <n v="24.21"/>
    <n v="33"/>
    <n v="5.0199999999999996"/>
    <x v="0"/>
    <m/>
  </r>
  <r>
    <s v="ti.28216"/>
    <x v="0"/>
    <x v="0"/>
    <x v="3"/>
    <s v="高砂市"/>
    <x v="25"/>
    <x v="11"/>
    <x v="11"/>
    <x v="11"/>
    <x v="11"/>
    <n v="249"/>
    <n v="13.39"/>
    <n v="212"/>
    <n v="17.64"/>
    <n v="37"/>
    <n v="5.63"/>
    <x v="0"/>
    <m/>
  </r>
  <r>
    <s v="ti.28216"/>
    <x v="0"/>
    <x v="0"/>
    <x v="3"/>
    <s v="高砂市"/>
    <x v="25"/>
    <x v="12"/>
    <x v="12"/>
    <x v="12"/>
    <x v="12"/>
    <n v="95"/>
    <n v="5.1100000000000003"/>
    <n v="77"/>
    <n v="6.41"/>
    <n v="18"/>
    <n v="2.74"/>
    <x v="0"/>
    <m/>
  </r>
  <r>
    <s v="ti.28216"/>
    <x v="0"/>
    <x v="0"/>
    <x v="3"/>
    <s v="高砂市"/>
    <x v="25"/>
    <x v="13"/>
    <x v="13"/>
    <x v="13"/>
    <x v="13"/>
    <n v="65"/>
    <n v="3.5"/>
    <n v="50"/>
    <n v="4.16"/>
    <n v="15"/>
    <n v="2.2799999999999998"/>
    <x v="0"/>
    <m/>
  </r>
  <r>
    <s v="ti.28216"/>
    <x v="0"/>
    <x v="0"/>
    <x v="3"/>
    <s v="高砂市"/>
    <x v="25"/>
    <x v="14"/>
    <x v="14"/>
    <x v="14"/>
    <x v="14"/>
    <n v="52"/>
    <n v="2.8"/>
    <n v="20"/>
    <n v="1.66"/>
    <n v="32"/>
    <n v="4.87"/>
    <x v="0"/>
    <m/>
  </r>
  <r>
    <s v="ti.28217"/>
    <x v="0"/>
    <x v="0"/>
    <x v="3"/>
    <s v="川西市"/>
    <x v="26"/>
    <x v="0"/>
    <x v="0"/>
    <x v="0"/>
    <x v="0"/>
    <n v="0"/>
    <n v="0"/>
    <n v="0"/>
    <n v="0"/>
    <n v="0"/>
    <n v="0"/>
    <x v="0"/>
    <n v="0"/>
  </r>
  <r>
    <s v="ti.28217"/>
    <x v="0"/>
    <x v="0"/>
    <x v="3"/>
    <s v="川西市"/>
    <x v="26"/>
    <x v="1"/>
    <x v="1"/>
    <x v="1"/>
    <x v="1"/>
    <n v="256"/>
    <n v="10.74"/>
    <n v="70"/>
    <n v="5.18"/>
    <n v="186"/>
    <n v="18.11"/>
    <x v="0"/>
    <n v="0"/>
  </r>
  <r>
    <s v="ti.28217"/>
    <x v="0"/>
    <x v="0"/>
    <x v="3"/>
    <s v="川西市"/>
    <x v="26"/>
    <x v="2"/>
    <x v="2"/>
    <x v="2"/>
    <x v="2"/>
    <n v="157"/>
    <n v="6.59"/>
    <n v="52"/>
    <n v="3.85"/>
    <n v="105"/>
    <n v="10.220000000000001"/>
    <x v="0"/>
    <n v="0"/>
  </r>
  <r>
    <s v="ti.28217"/>
    <x v="0"/>
    <x v="0"/>
    <x v="3"/>
    <s v="川西市"/>
    <x v="26"/>
    <x v="3"/>
    <x v="3"/>
    <x v="3"/>
    <x v="3"/>
    <n v="0"/>
    <n v="0"/>
    <n v="0"/>
    <n v="0"/>
    <n v="0"/>
    <n v="0"/>
    <x v="0"/>
    <n v="0"/>
  </r>
  <r>
    <s v="ti.28217"/>
    <x v="0"/>
    <x v="0"/>
    <x v="3"/>
    <s v="川西市"/>
    <x v="26"/>
    <x v="4"/>
    <x v="4"/>
    <x v="4"/>
    <x v="4"/>
    <n v="17"/>
    <n v="0.71"/>
    <n v="4"/>
    <n v="0.3"/>
    <n v="13"/>
    <n v="1.27"/>
    <x v="0"/>
    <n v="0"/>
  </r>
  <r>
    <s v="ti.28217"/>
    <x v="0"/>
    <x v="0"/>
    <x v="3"/>
    <s v="川西市"/>
    <x v="26"/>
    <x v="5"/>
    <x v="5"/>
    <x v="5"/>
    <x v="5"/>
    <n v="18"/>
    <n v="0.76"/>
    <n v="7"/>
    <n v="0.52"/>
    <n v="11"/>
    <n v="1.07"/>
    <x v="0"/>
    <n v="0"/>
  </r>
  <r>
    <s v="ti.28217"/>
    <x v="0"/>
    <x v="0"/>
    <x v="3"/>
    <s v="川西市"/>
    <x v="26"/>
    <x v="6"/>
    <x v="6"/>
    <x v="6"/>
    <x v="6"/>
    <n v="602"/>
    <n v="25.25"/>
    <n v="326"/>
    <n v="24.13"/>
    <n v="274"/>
    <n v="26.68"/>
    <x v="1"/>
    <n v="33.33"/>
  </r>
  <r>
    <s v="ti.28217"/>
    <x v="0"/>
    <x v="0"/>
    <x v="3"/>
    <s v="川西市"/>
    <x v="26"/>
    <x v="7"/>
    <x v="7"/>
    <x v="7"/>
    <x v="7"/>
    <n v="16"/>
    <n v="0.67"/>
    <n v="2"/>
    <n v="0.15"/>
    <n v="14"/>
    <n v="1.36"/>
    <x v="0"/>
    <n v="0"/>
  </r>
  <r>
    <s v="ti.28217"/>
    <x v="0"/>
    <x v="0"/>
    <x v="3"/>
    <s v="川西市"/>
    <x v="26"/>
    <x v="8"/>
    <x v="8"/>
    <x v="8"/>
    <x v="8"/>
    <n v="282"/>
    <n v="11.83"/>
    <n v="109"/>
    <n v="8.07"/>
    <n v="172"/>
    <n v="16.75"/>
    <x v="6"/>
    <n v="16.670000000000002"/>
  </r>
  <r>
    <s v="ti.28217"/>
    <x v="0"/>
    <x v="0"/>
    <x v="3"/>
    <s v="川西市"/>
    <x v="26"/>
    <x v="9"/>
    <x v="9"/>
    <x v="9"/>
    <x v="9"/>
    <n v="110"/>
    <n v="4.6100000000000003"/>
    <n v="73"/>
    <n v="5.4"/>
    <n v="37"/>
    <n v="3.6"/>
    <x v="0"/>
    <n v="0"/>
  </r>
  <r>
    <s v="ti.28217"/>
    <x v="0"/>
    <x v="0"/>
    <x v="3"/>
    <s v="川西市"/>
    <x v="26"/>
    <x v="10"/>
    <x v="10"/>
    <x v="10"/>
    <x v="10"/>
    <n v="285"/>
    <n v="11.95"/>
    <n v="255"/>
    <n v="18.87"/>
    <n v="30"/>
    <n v="2.92"/>
    <x v="0"/>
    <n v="0"/>
  </r>
  <r>
    <s v="ti.28217"/>
    <x v="0"/>
    <x v="0"/>
    <x v="3"/>
    <s v="川西市"/>
    <x v="26"/>
    <x v="11"/>
    <x v="11"/>
    <x v="11"/>
    <x v="11"/>
    <n v="327"/>
    <n v="13.72"/>
    <n v="250"/>
    <n v="18.5"/>
    <n v="77"/>
    <n v="7.5"/>
    <x v="0"/>
    <n v="0"/>
  </r>
  <r>
    <s v="ti.28217"/>
    <x v="0"/>
    <x v="0"/>
    <x v="3"/>
    <s v="川西市"/>
    <x v="26"/>
    <x v="12"/>
    <x v="12"/>
    <x v="12"/>
    <x v="12"/>
    <n v="146"/>
    <n v="6.12"/>
    <n v="104"/>
    <n v="7.7"/>
    <n v="41"/>
    <n v="3.99"/>
    <x v="6"/>
    <n v="16.670000000000002"/>
  </r>
  <r>
    <s v="ti.28217"/>
    <x v="0"/>
    <x v="0"/>
    <x v="3"/>
    <s v="川西市"/>
    <x v="26"/>
    <x v="13"/>
    <x v="13"/>
    <x v="13"/>
    <x v="13"/>
    <n v="98"/>
    <n v="4.1100000000000003"/>
    <n v="69"/>
    <n v="5.1100000000000003"/>
    <n v="29"/>
    <n v="2.82"/>
    <x v="0"/>
    <n v="0"/>
  </r>
  <r>
    <s v="ti.28217"/>
    <x v="0"/>
    <x v="0"/>
    <x v="3"/>
    <s v="川西市"/>
    <x v="26"/>
    <x v="14"/>
    <x v="14"/>
    <x v="14"/>
    <x v="14"/>
    <n v="70"/>
    <n v="2.94"/>
    <n v="30"/>
    <n v="2.2200000000000002"/>
    <n v="38"/>
    <n v="3.7"/>
    <x v="1"/>
    <n v="33.33"/>
  </r>
  <r>
    <s v="ti.28218"/>
    <x v="0"/>
    <x v="0"/>
    <x v="3"/>
    <s v="小野市"/>
    <x v="27"/>
    <x v="0"/>
    <x v="0"/>
    <x v="0"/>
    <x v="0"/>
    <n v="1"/>
    <n v="0.08"/>
    <n v="0"/>
    <n v="0"/>
    <n v="1"/>
    <n v="0.24"/>
    <x v="0"/>
    <n v="0"/>
  </r>
  <r>
    <s v="ti.28218"/>
    <x v="0"/>
    <x v="0"/>
    <x v="3"/>
    <s v="小野市"/>
    <x v="27"/>
    <x v="1"/>
    <x v="1"/>
    <x v="1"/>
    <x v="1"/>
    <n v="141"/>
    <n v="11.29"/>
    <n v="76"/>
    <n v="9.16"/>
    <n v="65"/>
    <n v="15.66"/>
    <x v="0"/>
    <n v="0"/>
  </r>
  <r>
    <s v="ti.28218"/>
    <x v="0"/>
    <x v="0"/>
    <x v="3"/>
    <s v="小野市"/>
    <x v="27"/>
    <x v="2"/>
    <x v="2"/>
    <x v="2"/>
    <x v="2"/>
    <n v="332"/>
    <n v="26.58"/>
    <n v="223"/>
    <n v="26.87"/>
    <n v="109"/>
    <n v="26.27"/>
    <x v="0"/>
    <n v="0"/>
  </r>
  <r>
    <s v="ti.28218"/>
    <x v="0"/>
    <x v="0"/>
    <x v="3"/>
    <s v="小野市"/>
    <x v="27"/>
    <x v="3"/>
    <x v="3"/>
    <x v="3"/>
    <x v="3"/>
    <n v="1"/>
    <n v="0.08"/>
    <n v="0"/>
    <n v="0"/>
    <n v="1"/>
    <n v="0.24"/>
    <x v="0"/>
    <n v="0"/>
  </r>
  <r>
    <s v="ti.28218"/>
    <x v="0"/>
    <x v="0"/>
    <x v="3"/>
    <s v="小野市"/>
    <x v="27"/>
    <x v="4"/>
    <x v="4"/>
    <x v="4"/>
    <x v="4"/>
    <n v="3"/>
    <n v="0.24"/>
    <n v="0"/>
    <n v="0"/>
    <n v="3"/>
    <n v="0.72"/>
    <x v="0"/>
    <n v="0"/>
  </r>
  <r>
    <s v="ti.28218"/>
    <x v="0"/>
    <x v="0"/>
    <x v="3"/>
    <s v="小野市"/>
    <x v="27"/>
    <x v="5"/>
    <x v="5"/>
    <x v="5"/>
    <x v="5"/>
    <n v="14"/>
    <n v="1.1200000000000001"/>
    <n v="6"/>
    <n v="0.72"/>
    <n v="8"/>
    <n v="1.93"/>
    <x v="0"/>
    <n v="0"/>
  </r>
  <r>
    <s v="ti.28218"/>
    <x v="0"/>
    <x v="0"/>
    <x v="3"/>
    <s v="小野市"/>
    <x v="27"/>
    <x v="6"/>
    <x v="6"/>
    <x v="6"/>
    <x v="6"/>
    <n v="305"/>
    <n v="24.42"/>
    <n v="187"/>
    <n v="22.53"/>
    <n v="114"/>
    <n v="27.47"/>
    <x v="16"/>
    <n v="100"/>
  </r>
  <r>
    <s v="ti.28218"/>
    <x v="0"/>
    <x v="0"/>
    <x v="3"/>
    <s v="小野市"/>
    <x v="27"/>
    <x v="7"/>
    <x v="7"/>
    <x v="7"/>
    <x v="7"/>
    <n v="9"/>
    <n v="0.72"/>
    <n v="4"/>
    <n v="0.48"/>
    <n v="5"/>
    <n v="1.2"/>
    <x v="0"/>
    <n v="0"/>
  </r>
  <r>
    <s v="ti.28218"/>
    <x v="0"/>
    <x v="0"/>
    <x v="3"/>
    <s v="小野市"/>
    <x v="27"/>
    <x v="8"/>
    <x v="8"/>
    <x v="8"/>
    <x v="8"/>
    <n v="64"/>
    <n v="5.12"/>
    <n v="32"/>
    <n v="3.86"/>
    <n v="32"/>
    <n v="7.71"/>
    <x v="0"/>
    <n v="0"/>
  </r>
  <r>
    <s v="ti.28218"/>
    <x v="0"/>
    <x v="0"/>
    <x v="3"/>
    <s v="小野市"/>
    <x v="27"/>
    <x v="9"/>
    <x v="9"/>
    <x v="9"/>
    <x v="9"/>
    <n v="49"/>
    <n v="3.92"/>
    <n v="36"/>
    <n v="4.34"/>
    <n v="13"/>
    <n v="3.13"/>
    <x v="0"/>
    <n v="0"/>
  </r>
  <r>
    <s v="ti.28218"/>
    <x v="0"/>
    <x v="0"/>
    <x v="3"/>
    <s v="小野市"/>
    <x v="27"/>
    <x v="10"/>
    <x v="10"/>
    <x v="10"/>
    <x v="10"/>
    <n v="110"/>
    <n v="8.81"/>
    <n v="100"/>
    <n v="12.05"/>
    <n v="10"/>
    <n v="2.41"/>
    <x v="0"/>
    <n v="0"/>
  </r>
  <r>
    <s v="ti.28218"/>
    <x v="0"/>
    <x v="0"/>
    <x v="3"/>
    <s v="小野市"/>
    <x v="27"/>
    <x v="11"/>
    <x v="11"/>
    <x v="11"/>
    <x v="11"/>
    <n v="111"/>
    <n v="8.89"/>
    <n v="86"/>
    <n v="10.36"/>
    <n v="25"/>
    <n v="6.02"/>
    <x v="0"/>
    <n v="0"/>
  </r>
  <r>
    <s v="ti.28218"/>
    <x v="0"/>
    <x v="0"/>
    <x v="3"/>
    <s v="小野市"/>
    <x v="27"/>
    <x v="12"/>
    <x v="12"/>
    <x v="12"/>
    <x v="12"/>
    <n v="38"/>
    <n v="3.04"/>
    <n v="32"/>
    <n v="3.86"/>
    <n v="6"/>
    <n v="1.45"/>
    <x v="0"/>
    <n v="0"/>
  </r>
  <r>
    <s v="ti.28218"/>
    <x v="0"/>
    <x v="0"/>
    <x v="3"/>
    <s v="小野市"/>
    <x v="27"/>
    <x v="13"/>
    <x v="13"/>
    <x v="13"/>
    <x v="13"/>
    <n v="32"/>
    <n v="2.56"/>
    <n v="26"/>
    <n v="3.13"/>
    <n v="6"/>
    <n v="1.45"/>
    <x v="0"/>
    <n v="0"/>
  </r>
  <r>
    <s v="ti.28218"/>
    <x v="0"/>
    <x v="0"/>
    <x v="3"/>
    <s v="小野市"/>
    <x v="27"/>
    <x v="14"/>
    <x v="14"/>
    <x v="14"/>
    <x v="14"/>
    <n v="39"/>
    <n v="3.12"/>
    <n v="22"/>
    <n v="2.65"/>
    <n v="17"/>
    <n v="4.0999999999999996"/>
    <x v="0"/>
    <n v="0"/>
  </r>
  <r>
    <s v="ti.28219"/>
    <x v="0"/>
    <x v="0"/>
    <x v="3"/>
    <s v="三田市"/>
    <x v="28"/>
    <x v="0"/>
    <x v="0"/>
    <x v="0"/>
    <x v="0"/>
    <n v="0"/>
    <n v="0"/>
    <n v="0"/>
    <n v="0"/>
    <n v="0"/>
    <n v="0"/>
    <x v="0"/>
    <n v="0"/>
  </r>
  <r>
    <s v="ti.28219"/>
    <x v="0"/>
    <x v="0"/>
    <x v="3"/>
    <s v="三田市"/>
    <x v="28"/>
    <x v="1"/>
    <x v="1"/>
    <x v="1"/>
    <x v="1"/>
    <n v="184"/>
    <n v="13.38"/>
    <n v="40"/>
    <n v="6.08"/>
    <n v="144"/>
    <n v="20.11"/>
    <x v="0"/>
    <n v="0"/>
  </r>
  <r>
    <s v="ti.28219"/>
    <x v="0"/>
    <x v="0"/>
    <x v="3"/>
    <s v="三田市"/>
    <x v="28"/>
    <x v="2"/>
    <x v="2"/>
    <x v="2"/>
    <x v="2"/>
    <n v="74"/>
    <n v="5.38"/>
    <n v="25"/>
    <n v="3.8"/>
    <n v="49"/>
    <n v="6.84"/>
    <x v="0"/>
    <n v="0"/>
  </r>
  <r>
    <s v="ti.28219"/>
    <x v="0"/>
    <x v="0"/>
    <x v="3"/>
    <s v="三田市"/>
    <x v="28"/>
    <x v="3"/>
    <x v="3"/>
    <x v="3"/>
    <x v="3"/>
    <n v="1"/>
    <n v="7.0000000000000007E-2"/>
    <n v="0"/>
    <n v="0"/>
    <n v="1"/>
    <n v="0.14000000000000001"/>
    <x v="0"/>
    <n v="0"/>
  </r>
  <r>
    <s v="ti.28219"/>
    <x v="0"/>
    <x v="0"/>
    <x v="3"/>
    <s v="三田市"/>
    <x v="28"/>
    <x v="4"/>
    <x v="4"/>
    <x v="4"/>
    <x v="4"/>
    <n v="16"/>
    <n v="1.1599999999999999"/>
    <n v="0"/>
    <n v="0"/>
    <n v="16"/>
    <n v="2.23"/>
    <x v="0"/>
    <n v="0"/>
  </r>
  <r>
    <s v="ti.28219"/>
    <x v="0"/>
    <x v="0"/>
    <x v="3"/>
    <s v="三田市"/>
    <x v="28"/>
    <x v="5"/>
    <x v="5"/>
    <x v="5"/>
    <x v="5"/>
    <n v="13"/>
    <n v="0.95"/>
    <n v="0"/>
    <n v="0"/>
    <n v="13"/>
    <n v="1.82"/>
    <x v="0"/>
    <n v="0"/>
  </r>
  <r>
    <s v="ti.28219"/>
    <x v="0"/>
    <x v="0"/>
    <x v="3"/>
    <s v="三田市"/>
    <x v="28"/>
    <x v="6"/>
    <x v="6"/>
    <x v="6"/>
    <x v="6"/>
    <n v="350"/>
    <n v="25.45"/>
    <n v="173"/>
    <n v="26.29"/>
    <n v="177"/>
    <n v="24.72"/>
    <x v="0"/>
    <n v="0"/>
  </r>
  <r>
    <s v="ti.28219"/>
    <x v="0"/>
    <x v="0"/>
    <x v="3"/>
    <s v="三田市"/>
    <x v="28"/>
    <x v="7"/>
    <x v="7"/>
    <x v="7"/>
    <x v="7"/>
    <n v="7"/>
    <n v="0.51"/>
    <n v="2"/>
    <n v="0.3"/>
    <n v="5"/>
    <n v="0.7"/>
    <x v="0"/>
    <n v="0"/>
  </r>
  <r>
    <s v="ti.28219"/>
    <x v="0"/>
    <x v="0"/>
    <x v="3"/>
    <s v="三田市"/>
    <x v="28"/>
    <x v="8"/>
    <x v="8"/>
    <x v="8"/>
    <x v="8"/>
    <n v="135"/>
    <n v="9.82"/>
    <n v="40"/>
    <n v="6.08"/>
    <n v="95"/>
    <n v="13.27"/>
    <x v="0"/>
    <n v="0"/>
  </r>
  <r>
    <s v="ti.28219"/>
    <x v="0"/>
    <x v="0"/>
    <x v="3"/>
    <s v="三田市"/>
    <x v="28"/>
    <x v="9"/>
    <x v="9"/>
    <x v="9"/>
    <x v="9"/>
    <n v="87"/>
    <n v="6.33"/>
    <n v="51"/>
    <n v="7.75"/>
    <n v="36"/>
    <n v="5.03"/>
    <x v="0"/>
    <n v="0"/>
  </r>
  <r>
    <s v="ti.28219"/>
    <x v="0"/>
    <x v="0"/>
    <x v="3"/>
    <s v="三田市"/>
    <x v="28"/>
    <x v="10"/>
    <x v="10"/>
    <x v="10"/>
    <x v="10"/>
    <n v="150"/>
    <n v="10.91"/>
    <n v="110"/>
    <n v="16.72"/>
    <n v="40"/>
    <n v="5.59"/>
    <x v="0"/>
    <n v="0"/>
  </r>
  <r>
    <s v="ti.28219"/>
    <x v="0"/>
    <x v="0"/>
    <x v="3"/>
    <s v="三田市"/>
    <x v="28"/>
    <x v="11"/>
    <x v="11"/>
    <x v="11"/>
    <x v="11"/>
    <n v="171"/>
    <n v="12.44"/>
    <n v="118"/>
    <n v="17.93"/>
    <n v="53"/>
    <n v="7.4"/>
    <x v="0"/>
    <n v="0"/>
  </r>
  <r>
    <s v="ti.28219"/>
    <x v="0"/>
    <x v="0"/>
    <x v="3"/>
    <s v="三田市"/>
    <x v="28"/>
    <x v="12"/>
    <x v="12"/>
    <x v="12"/>
    <x v="12"/>
    <n v="65"/>
    <n v="4.7300000000000004"/>
    <n v="42"/>
    <n v="6.38"/>
    <n v="23"/>
    <n v="3.21"/>
    <x v="0"/>
    <n v="0"/>
  </r>
  <r>
    <s v="ti.28219"/>
    <x v="0"/>
    <x v="0"/>
    <x v="3"/>
    <s v="三田市"/>
    <x v="28"/>
    <x v="13"/>
    <x v="13"/>
    <x v="13"/>
    <x v="13"/>
    <n v="67"/>
    <n v="4.87"/>
    <n v="36"/>
    <n v="5.47"/>
    <n v="30"/>
    <n v="4.1900000000000004"/>
    <x v="6"/>
    <n v="100"/>
  </r>
  <r>
    <s v="ti.28219"/>
    <x v="0"/>
    <x v="0"/>
    <x v="3"/>
    <s v="三田市"/>
    <x v="28"/>
    <x v="14"/>
    <x v="14"/>
    <x v="14"/>
    <x v="14"/>
    <n v="55"/>
    <n v="4"/>
    <n v="21"/>
    <n v="3.19"/>
    <n v="34"/>
    <n v="4.75"/>
    <x v="0"/>
    <n v="0"/>
  </r>
  <r>
    <s v="ti.28220"/>
    <x v="0"/>
    <x v="0"/>
    <x v="3"/>
    <s v="加西市"/>
    <x v="29"/>
    <x v="0"/>
    <x v="0"/>
    <x v="0"/>
    <x v="0"/>
    <n v="0"/>
    <n v="0"/>
    <n v="0"/>
    <n v="0"/>
    <n v="0"/>
    <n v="0"/>
    <x v="0"/>
    <m/>
  </r>
  <r>
    <s v="ti.28220"/>
    <x v="0"/>
    <x v="0"/>
    <x v="3"/>
    <s v="加西市"/>
    <x v="29"/>
    <x v="1"/>
    <x v="1"/>
    <x v="1"/>
    <x v="1"/>
    <n v="160"/>
    <n v="14.01"/>
    <n v="82"/>
    <n v="12.67"/>
    <n v="78"/>
    <n v="15.76"/>
    <x v="0"/>
    <m/>
  </r>
  <r>
    <s v="ti.28220"/>
    <x v="0"/>
    <x v="0"/>
    <x v="3"/>
    <s v="加西市"/>
    <x v="29"/>
    <x v="2"/>
    <x v="2"/>
    <x v="2"/>
    <x v="2"/>
    <n v="355"/>
    <n v="31.09"/>
    <n v="184"/>
    <n v="28.44"/>
    <n v="171"/>
    <n v="34.549999999999997"/>
    <x v="0"/>
    <m/>
  </r>
  <r>
    <s v="ti.28220"/>
    <x v="0"/>
    <x v="0"/>
    <x v="3"/>
    <s v="加西市"/>
    <x v="29"/>
    <x v="3"/>
    <x v="3"/>
    <x v="3"/>
    <x v="3"/>
    <n v="0"/>
    <n v="0"/>
    <n v="0"/>
    <n v="0"/>
    <n v="0"/>
    <n v="0"/>
    <x v="0"/>
    <m/>
  </r>
  <r>
    <s v="ti.28220"/>
    <x v="0"/>
    <x v="0"/>
    <x v="3"/>
    <s v="加西市"/>
    <x v="29"/>
    <x v="4"/>
    <x v="4"/>
    <x v="4"/>
    <x v="4"/>
    <n v="7"/>
    <n v="0.61"/>
    <n v="0"/>
    <n v="0"/>
    <n v="7"/>
    <n v="1.41"/>
    <x v="0"/>
    <m/>
  </r>
  <r>
    <s v="ti.28220"/>
    <x v="0"/>
    <x v="0"/>
    <x v="3"/>
    <s v="加西市"/>
    <x v="29"/>
    <x v="5"/>
    <x v="5"/>
    <x v="5"/>
    <x v="5"/>
    <n v="19"/>
    <n v="1.66"/>
    <n v="2"/>
    <n v="0.31"/>
    <n v="17"/>
    <n v="3.43"/>
    <x v="0"/>
    <m/>
  </r>
  <r>
    <s v="ti.28220"/>
    <x v="0"/>
    <x v="0"/>
    <x v="3"/>
    <s v="加西市"/>
    <x v="29"/>
    <x v="6"/>
    <x v="6"/>
    <x v="6"/>
    <x v="6"/>
    <n v="264"/>
    <n v="23.12"/>
    <n v="139"/>
    <n v="21.48"/>
    <n v="125"/>
    <n v="25.25"/>
    <x v="0"/>
    <m/>
  </r>
  <r>
    <s v="ti.28220"/>
    <x v="0"/>
    <x v="0"/>
    <x v="3"/>
    <s v="加西市"/>
    <x v="29"/>
    <x v="7"/>
    <x v="7"/>
    <x v="7"/>
    <x v="7"/>
    <n v="11"/>
    <n v="0.96"/>
    <n v="6"/>
    <n v="0.93"/>
    <n v="5"/>
    <n v="1.01"/>
    <x v="0"/>
    <m/>
  </r>
  <r>
    <s v="ti.28220"/>
    <x v="0"/>
    <x v="0"/>
    <x v="3"/>
    <s v="加西市"/>
    <x v="29"/>
    <x v="8"/>
    <x v="8"/>
    <x v="8"/>
    <x v="8"/>
    <n v="20"/>
    <n v="1.75"/>
    <n v="4"/>
    <n v="0.62"/>
    <n v="16"/>
    <n v="3.23"/>
    <x v="0"/>
    <m/>
  </r>
  <r>
    <s v="ti.28220"/>
    <x v="0"/>
    <x v="0"/>
    <x v="3"/>
    <s v="加西市"/>
    <x v="29"/>
    <x v="9"/>
    <x v="9"/>
    <x v="9"/>
    <x v="9"/>
    <n v="43"/>
    <n v="3.77"/>
    <n v="26"/>
    <n v="4.0199999999999996"/>
    <n v="17"/>
    <n v="3.43"/>
    <x v="0"/>
    <m/>
  </r>
  <r>
    <s v="ti.28220"/>
    <x v="0"/>
    <x v="0"/>
    <x v="3"/>
    <s v="加西市"/>
    <x v="29"/>
    <x v="10"/>
    <x v="10"/>
    <x v="10"/>
    <x v="10"/>
    <n v="80"/>
    <n v="7.01"/>
    <n v="69"/>
    <n v="10.66"/>
    <n v="11"/>
    <n v="2.2200000000000002"/>
    <x v="0"/>
    <m/>
  </r>
  <r>
    <s v="ti.28220"/>
    <x v="0"/>
    <x v="0"/>
    <x v="3"/>
    <s v="加西市"/>
    <x v="29"/>
    <x v="11"/>
    <x v="11"/>
    <x v="11"/>
    <x v="11"/>
    <n v="111"/>
    <n v="9.7200000000000006"/>
    <n v="88"/>
    <n v="13.6"/>
    <n v="23"/>
    <n v="4.6500000000000004"/>
    <x v="0"/>
    <m/>
  </r>
  <r>
    <s v="ti.28220"/>
    <x v="0"/>
    <x v="0"/>
    <x v="3"/>
    <s v="加西市"/>
    <x v="29"/>
    <x v="12"/>
    <x v="12"/>
    <x v="12"/>
    <x v="12"/>
    <n v="20"/>
    <n v="1.75"/>
    <n v="13"/>
    <n v="2.0099999999999998"/>
    <n v="7"/>
    <n v="1.41"/>
    <x v="0"/>
    <m/>
  </r>
  <r>
    <s v="ti.28220"/>
    <x v="0"/>
    <x v="0"/>
    <x v="3"/>
    <s v="加西市"/>
    <x v="29"/>
    <x v="13"/>
    <x v="13"/>
    <x v="13"/>
    <x v="13"/>
    <n v="26"/>
    <n v="2.2799999999999998"/>
    <n v="19"/>
    <n v="2.94"/>
    <n v="7"/>
    <n v="1.41"/>
    <x v="0"/>
    <m/>
  </r>
  <r>
    <s v="ti.28220"/>
    <x v="0"/>
    <x v="0"/>
    <x v="3"/>
    <s v="加西市"/>
    <x v="29"/>
    <x v="14"/>
    <x v="14"/>
    <x v="14"/>
    <x v="14"/>
    <n v="26"/>
    <n v="2.2799999999999998"/>
    <n v="15"/>
    <n v="2.3199999999999998"/>
    <n v="11"/>
    <n v="2.2200000000000002"/>
    <x v="0"/>
    <m/>
  </r>
  <r>
    <s v="ti.28221"/>
    <x v="0"/>
    <x v="0"/>
    <x v="3"/>
    <s v="篠山市"/>
    <x v="30"/>
    <x v="0"/>
    <x v="0"/>
    <x v="0"/>
    <x v="0"/>
    <n v="0"/>
    <n v="0"/>
    <n v="0"/>
    <n v="0"/>
    <n v="0"/>
    <n v="0"/>
    <x v="0"/>
    <n v="0"/>
  </r>
  <r>
    <s v="ti.28221"/>
    <x v="0"/>
    <x v="0"/>
    <x v="3"/>
    <s v="篠山市"/>
    <x v="30"/>
    <x v="1"/>
    <x v="1"/>
    <x v="1"/>
    <x v="1"/>
    <n v="226"/>
    <n v="19.7"/>
    <n v="151"/>
    <n v="18.71"/>
    <n v="75"/>
    <n v="22.26"/>
    <x v="0"/>
    <n v="0"/>
  </r>
  <r>
    <s v="ti.28221"/>
    <x v="0"/>
    <x v="0"/>
    <x v="3"/>
    <s v="篠山市"/>
    <x v="30"/>
    <x v="2"/>
    <x v="2"/>
    <x v="2"/>
    <x v="2"/>
    <n v="174"/>
    <n v="15.17"/>
    <n v="115"/>
    <n v="14.25"/>
    <n v="58"/>
    <n v="17.21"/>
    <x v="6"/>
    <n v="33.33"/>
  </r>
  <r>
    <s v="ti.28221"/>
    <x v="0"/>
    <x v="0"/>
    <x v="3"/>
    <s v="篠山市"/>
    <x v="30"/>
    <x v="3"/>
    <x v="3"/>
    <x v="3"/>
    <x v="3"/>
    <n v="1"/>
    <n v="0.09"/>
    <n v="0"/>
    <n v="0"/>
    <n v="1"/>
    <n v="0.3"/>
    <x v="0"/>
    <n v="0"/>
  </r>
  <r>
    <s v="ti.28221"/>
    <x v="0"/>
    <x v="0"/>
    <x v="3"/>
    <s v="篠山市"/>
    <x v="30"/>
    <x v="4"/>
    <x v="4"/>
    <x v="4"/>
    <x v="4"/>
    <n v="6"/>
    <n v="0.52"/>
    <n v="0"/>
    <n v="0"/>
    <n v="6"/>
    <n v="1.78"/>
    <x v="0"/>
    <n v="0"/>
  </r>
  <r>
    <s v="ti.28221"/>
    <x v="0"/>
    <x v="0"/>
    <x v="3"/>
    <s v="篠山市"/>
    <x v="30"/>
    <x v="5"/>
    <x v="5"/>
    <x v="5"/>
    <x v="5"/>
    <n v="8"/>
    <n v="0.7"/>
    <n v="3"/>
    <n v="0.37"/>
    <n v="5"/>
    <n v="1.48"/>
    <x v="0"/>
    <n v="0"/>
  </r>
  <r>
    <s v="ti.28221"/>
    <x v="0"/>
    <x v="0"/>
    <x v="3"/>
    <s v="篠山市"/>
    <x v="30"/>
    <x v="6"/>
    <x v="6"/>
    <x v="6"/>
    <x v="6"/>
    <n v="324"/>
    <n v="28.25"/>
    <n v="215"/>
    <n v="26.64"/>
    <n v="109"/>
    <n v="32.340000000000003"/>
    <x v="0"/>
    <n v="0"/>
  </r>
  <r>
    <s v="ti.28221"/>
    <x v="0"/>
    <x v="0"/>
    <x v="3"/>
    <s v="篠山市"/>
    <x v="30"/>
    <x v="7"/>
    <x v="7"/>
    <x v="7"/>
    <x v="7"/>
    <n v="4"/>
    <n v="0.35"/>
    <n v="2"/>
    <n v="0.25"/>
    <n v="2"/>
    <n v="0.59"/>
    <x v="0"/>
    <n v="0"/>
  </r>
  <r>
    <s v="ti.28221"/>
    <x v="0"/>
    <x v="0"/>
    <x v="3"/>
    <s v="篠山市"/>
    <x v="30"/>
    <x v="8"/>
    <x v="8"/>
    <x v="8"/>
    <x v="8"/>
    <n v="62"/>
    <n v="5.41"/>
    <n v="45"/>
    <n v="5.58"/>
    <n v="17"/>
    <n v="5.04"/>
    <x v="0"/>
    <n v="0"/>
  </r>
  <r>
    <s v="ti.28221"/>
    <x v="0"/>
    <x v="0"/>
    <x v="3"/>
    <s v="篠山市"/>
    <x v="30"/>
    <x v="9"/>
    <x v="9"/>
    <x v="9"/>
    <x v="9"/>
    <n v="40"/>
    <n v="3.49"/>
    <n v="28"/>
    <n v="3.47"/>
    <n v="12"/>
    <n v="3.56"/>
    <x v="0"/>
    <n v="0"/>
  </r>
  <r>
    <s v="ti.28221"/>
    <x v="0"/>
    <x v="0"/>
    <x v="3"/>
    <s v="篠山市"/>
    <x v="30"/>
    <x v="10"/>
    <x v="10"/>
    <x v="10"/>
    <x v="10"/>
    <n v="118"/>
    <n v="10.29"/>
    <n v="109"/>
    <n v="13.51"/>
    <n v="9"/>
    <n v="2.67"/>
    <x v="0"/>
    <n v="0"/>
  </r>
  <r>
    <s v="ti.28221"/>
    <x v="0"/>
    <x v="0"/>
    <x v="3"/>
    <s v="篠山市"/>
    <x v="30"/>
    <x v="11"/>
    <x v="11"/>
    <x v="11"/>
    <x v="11"/>
    <n v="106"/>
    <n v="9.24"/>
    <n v="91"/>
    <n v="11.28"/>
    <n v="15"/>
    <n v="4.45"/>
    <x v="0"/>
    <n v="0"/>
  </r>
  <r>
    <s v="ti.28221"/>
    <x v="0"/>
    <x v="0"/>
    <x v="3"/>
    <s v="篠山市"/>
    <x v="30"/>
    <x v="12"/>
    <x v="12"/>
    <x v="12"/>
    <x v="12"/>
    <n v="33"/>
    <n v="2.88"/>
    <n v="24"/>
    <n v="2.97"/>
    <n v="8"/>
    <n v="2.37"/>
    <x v="6"/>
    <n v="33.33"/>
  </r>
  <r>
    <s v="ti.28221"/>
    <x v="0"/>
    <x v="0"/>
    <x v="3"/>
    <s v="篠山市"/>
    <x v="30"/>
    <x v="13"/>
    <x v="13"/>
    <x v="13"/>
    <x v="13"/>
    <n v="27"/>
    <n v="2.35"/>
    <n v="19"/>
    <n v="2.35"/>
    <n v="8"/>
    <n v="2.37"/>
    <x v="0"/>
    <n v="0"/>
  </r>
  <r>
    <s v="ti.28221"/>
    <x v="0"/>
    <x v="0"/>
    <x v="3"/>
    <s v="篠山市"/>
    <x v="30"/>
    <x v="14"/>
    <x v="14"/>
    <x v="14"/>
    <x v="14"/>
    <n v="18"/>
    <n v="1.57"/>
    <n v="5"/>
    <n v="0.62"/>
    <n v="12"/>
    <n v="3.56"/>
    <x v="6"/>
    <n v="33.33"/>
  </r>
  <r>
    <s v="ti.28222"/>
    <x v="0"/>
    <x v="0"/>
    <x v="3"/>
    <s v="養父市"/>
    <x v="31"/>
    <x v="0"/>
    <x v="0"/>
    <x v="0"/>
    <x v="0"/>
    <n v="1"/>
    <n v="0.12"/>
    <n v="0"/>
    <n v="0"/>
    <n v="1"/>
    <n v="0.41"/>
    <x v="0"/>
    <n v="0"/>
  </r>
  <r>
    <s v="ti.28222"/>
    <x v="0"/>
    <x v="0"/>
    <x v="3"/>
    <s v="養父市"/>
    <x v="31"/>
    <x v="1"/>
    <x v="1"/>
    <x v="1"/>
    <x v="1"/>
    <n v="148"/>
    <n v="17.96"/>
    <n v="92"/>
    <n v="16.03"/>
    <n v="56"/>
    <n v="22.86"/>
    <x v="0"/>
    <n v="0"/>
  </r>
  <r>
    <s v="ti.28222"/>
    <x v="0"/>
    <x v="0"/>
    <x v="3"/>
    <s v="養父市"/>
    <x v="31"/>
    <x v="2"/>
    <x v="2"/>
    <x v="2"/>
    <x v="2"/>
    <n v="105"/>
    <n v="12.74"/>
    <n v="56"/>
    <n v="9.76"/>
    <n v="49"/>
    <n v="20"/>
    <x v="0"/>
    <n v="0"/>
  </r>
  <r>
    <s v="ti.28222"/>
    <x v="0"/>
    <x v="0"/>
    <x v="3"/>
    <s v="養父市"/>
    <x v="31"/>
    <x v="3"/>
    <x v="3"/>
    <x v="3"/>
    <x v="3"/>
    <n v="1"/>
    <n v="0.12"/>
    <n v="0"/>
    <n v="0"/>
    <n v="1"/>
    <n v="0.41"/>
    <x v="0"/>
    <n v="0"/>
  </r>
  <r>
    <s v="ti.28222"/>
    <x v="0"/>
    <x v="0"/>
    <x v="3"/>
    <s v="養父市"/>
    <x v="31"/>
    <x v="4"/>
    <x v="4"/>
    <x v="4"/>
    <x v="4"/>
    <n v="1"/>
    <n v="0.12"/>
    <n v="0"/>
    <n v="0"/>
    <n v="1"/>
    <n v="0.41"/>
    <x v="0"/>
    <n v="0"/>
  </r>
  <r>
    <s v="ti.28222"/>
    <x v="0"/>
    <x v="0"/>
    <x v="3"/>
    <s v="養父市"/>
    <x v="31"/>
    <x v="5"/>
    <x v="5"/>
    <x v="5"/>
    <x v="5"/>
    <n v="13"/>
    <n v="1.58"/>
    <n v="7"/>
    <n v="1.22"/>
    <n v="5"/>
    <n v="2.04"/>
    <x v="6"/>
    <n v="20"/>
  </r>
  <r>
    <s v="ti.28222"/>
    <x v="0"/>
    <x v="0"/>
    <x v="3"/>
    <s v="養父市"/>
    <x v="31"/>
    <x v="6"/>
    <x v="6"/>
    <x v="6"/>
    <x v="6"/>
    <n v="214"/>
    <n v="25.97"/>
    <n v="140"/>
    <n v="24.39"/>
    <n v="74"/>
    <n v="30.2"/>
    <x v="0"/>
    <n v="0"/>
  </r>
  <r>
    <s v="ti.28222"/>
    <x v="0"/>
    <x v="0"/>
    <x v="3"/>
    <s v="養父市"/>
    <x v="31"/>
    <x v="7"/>
    <x v="7"/>
    <x v="7"/>
    <x v="7"/>
    <n v="4"/>
    <n v="0.49"/>
    <n v="2"/>
    <n v="0.35"/>
    <n v="2"/>
    <n v="0.82"/>
    <x v="0"/>
    <n v="0"/>
  </r>
  <r>
    <s v="ti.28222"/>
    <x v="0"/>
    <x v="0"/>
    <x v="3"/>
    <s v="養父市"/>
    <x v="31"/>
    <x v="8"/>
    <x v="8"/>
    <x v="8"/>
    <x v="8"/>
    <n v="43"/>
    <n v="5.22"/>
    <n v="32"/>
    <n v="5.57"/>
    <n v="11"/>
    <n v="4.49"/>
    <x v="0"/>
    <n v="0"/>
  </r>
  <r>
    <s v="ti.28222"/>
    <x v="0"/>
    <x v="0"/>
    <x v="3"/>
    <s v="養父市"/>
    <x v="31"/>
    <x v="9"/>
    <x v="9"/>
    <x v="9"/>
    <x v="9"/>
    <n v="30"/>
    <n v="3.64"/>
    <n v="26"/>
    <n v="4.53"/>
    <n v="4"/>
    <n v="1.63"/>
    <x v="0"/>
    <n v="0"/>
  </r>
  <r>
    <s v="ti.28222"/>
    <x v="0"/>
    <x v="0"/>
    <x v="3"/>
    <s v="養父市"/>
    <x v="31"/>
    <x v="10"/>
    <x v="10"/>
    <x v="10"/>
    <x v="10"/>
    <n v="107"/>
    <n v="12.99"/>
    <n v="92"/>
    <n v="16.03"/>
    <n v="15"/>
    <n v="6.12"/>
    <x v="0"/>
    <n v="0"/>
  </r>
  <r>
    <s v="ti.28222"/>
    <x v="0"/>
    <x v="0"/>
    <x v="3"/>
    <s v="養父市"/>
    <x v="31"/>
    <x v="11"/>
    <x v="11"/>
    <x v="11"/>
    <x v="11"/>
    <n v="79"/>
    <n v="9.59"/>
    <n v="69"/>
    <n v="12.02"/>
    <n v="10"/>
    <n v="4.08"/>
    <x v="0"/>
    <n v="0"/>
  </r>
  <r>
    <s v="ti.28222"/>
    <x v="0"/>
    <x v="0"/>
    <x v="3"/>
    <s v="養父市"/>
    <x v="31"/>
    <x v="12"/>
    <x v="12"/>
    <x v="12"/>
    <x v="12"/>
    <n v="34"/>
    <n v="4.13"/>
    <n v="31"/>
    <n v="5.4"/>
    <n v="2"/>
    <n v="0.82"/>
    <x v="6"/>
    <n v="20"/>
  </r>
  <r>
    <s v="ti.28222"/>
    <x v="0"/>
    <x v="0"/>
    <x v="3"/>
    <s v="養父市"/>
    <x v="31"/>
    <x v="13"/>
    <x v="13"/>
    <x v="13"/>
    <x v="13"/>
    <n v="24"/>
    <n v="2.91"/>
    <n v="15"/>
    <n v="2.61"/>
    <n v="9"/>
    <n v="3.67"/>
    <x v="0"/>
    <n v="0"/>
  </r>
  <r>
    <s v="ti.28222"/>
    <x v="0"/>
    <x v="0"/>
    <x v="3"/>
    <s v="養父市"/>
    <x v="31"/>
    <x v="14"/>
    <x v="14"/>
    <x v="14"/>
    <x v="14"/>
    <n v="20"/>
    <n v="2.4300000000000002"/>
    <n v="12"/>
    <n v="2.09"/>
    <n v="5"/>
    <n v="2.04"/>
    <x v="3"/>
    <n v="60"/>
  </r>
  <r>
    <s v="ti.28223"/>
    <x v="0"/>
    <x v="0"/>
    <x v="3"/>
    <s v="丹波市"/>
    <x v="32"/>
    <x v="0"/>
    <x v="0"/>
    <x v="0"/>
    <x v="0"/>
    <n v="0"/>
    <n v="0"/>
    <n v="0"/>
    <n v="0"/>
    <n v="0"/>
    <n v="0"/>
    <x v="0"/>
    <n v="0"/>
  </r>
  <r>
    <s v="ti.28223"/>
    <x v="0"/>
    <x v="0"/>
    <x v="3"/>
    <s v="丹波市"/>
    <x v="32"/>
    <x v="1"/>
    <x v="1"/>
    <x v="1"/>
    <x v="1"/>
    <n v="414"/>
    <n v="20.67"/>
    <n v="281"/>
    <n v="20.420000000000002"/>
    <n v="133"/>
    <n v="21.49"/>
    <x v="0"/>
    <n v="0"/>
  </r>
  <r>
    <s v="ti.28223"/>
    <x v="0"/>
    <x v="0"/>
    <x v="3"/>
    <s v="丹波市"/>
    <x v="32"/>
    <x v="2"/>
    <x v="2"/>
    <x v="2"/>
    <x v="2"/>
    <n v="328"/>
    <n v="16.38"/>
    <n v="202"/>
    <n v="14.68"/>
    <n v="125"/>
    <n v="20.190000000000001"/>
    <x v="6"/>
    <n v="12.5"/>
  </r>
  <r>
    <s v="ti.28223"/>
    <x v="0"/>
    <x v="0"/>
    <x v="3"/>
    <s v="丹波市"/>
    <x v="32"/>
    <x v="3"/>
    <x v="3"/>
    <x v="3"/>
    <x v="3"/>
    <n v="0"/>
    <n v="0"/>
    <n v="0"/>
    <n v="0"/>
    <n v="0"/>
    <n v="0"/>
    <x v="0"/>
    <n v="0"/>
  </r>
  <r>
    <s v="ti.28223"/>
    <x v="0"/>
    <x v="0"/>
    <x v="3"/>
    <s v="丹波市"/>
    <x v="32"/>
    <x v="4"/>
    <x v="4"/>
    <x v="4"/>
    <x v="4"/>
    <n v="8"/>
    <n v="0.4"/>
    <n v="0"/>
    <n v="0"/>
    <n v="8"/>
    <n v="1.29"/>
    <x v="0"/>
    <n v="0"/>
  </r>
  <r>
    <s v="ti.28223"/>
    <x v="0"/>
    <x v="0"/>
    <x v="3"/>
    <s v="丹波市"/>
    <x v="32"/>
    <x v="5"/>
    <x v="5"/>
    <x v="5"/>
    <x v="5"/>
    <n v="18"/>
    <n v="0.9"/>
    <n v="4"/>
    <n v="0.28999999999999998"/>
    <n v="13"/>
    <n v="2.1"/>
    <x v="6"/>
    <n v="12.5"/>
  </r>
  <r>
    <s v="ti.28223"/>
    <x v="0"/>
    <x v="0"/>
    <x v="3"/>
    <s v="丹波市"/>
    <x v="32"/>
    <x v="6"/>
    <x v="6"/>
    <x v="6"/>
    <x v="6"/>
    <n v="481"/>
    <n v="24.01"/>
    <n v="309"/>
    <n v="22.46"/>
    <n v="170"/>
    <n v="27.46"/>
    <x v="1"/>
    <n v="25"/>
  </r>
  <r>
    <s v="ti.28223"/>
    <x v="0"/>
    <x v="0"/>
    <x v="3"/>
    <s v="丹波市"/>
    <x v="32"/>
    <x v="7"/>
    <x v="7"/>
    <x v="7"/>
    <x v="7"/>
    <n v="3"/>
    <n v="0.15"/>
    <n v="0"/>
    <n v="0"/>
    <n v="3"/>
    <n v="0.48"/>
    <x v="0"/>
    <n v="0"/>
  </r>
  <r>
    <s v="ti.28223"/>
    <x v="0"/>
    <x v="0"/>
    <x v="3"/>
    <s v="丹波市"/>
    <x v="32"/>
    <x v="8"/>
    <x v="8"/>
    <x v="8"/>
    <x v="8"/>
    <n v="75"/>
    <n v="3.74"/>
    <n v="31"/>
    <n v="2.25"/>
    <n v="44"/>
    <n v="7.11"/>
    <x v="0"/>
    <n v="0"/>
  </r>
  <r>
    <s v="ti.28223"/>
    <x v="0"/>
    <x v="0"/>
    <x v="3"/>
    <s v="丹波市"/>
    <x v="32"/>
    <x v="9"/>
    <x v="9"/>
    <x v="9"/>
    <x v="9"/>
    <n v="66"/>
    <n v="3.3"/>
    <n v="53"/>
    <n v="3.85"/>
    <n v="13"/>
    <n v="2.1"/>
    <x v="0"/>
    <n v="0"/>
  </r>
  <r>
    <s v="ti.28223"/>
    <x v="0"/>
    <x v="0"/>
    <x v="3"/>
    <s v="丹波市"/>
    <x v="32"/>
    <x v="10"/>
    <x v="10"/>
    <x v="10"/>
    <x v="10"/>
    <n v="183"/>
    <n v="9.14"/>
    <n v="169"/>
    <n v="12.28"/>
    <n v="12"/>
    <n v="1.94"/>
    <x v="1"/>
    <n v="25"/>
  </r>
  <r>
    <s v="ti.28223"/>
    <x v="0"/>
    <x v="0"/>
    <x v="3"/>
    <s v="丹波市"/>
    <x v="32"/>
    <x v="11"/>
    <x v="11"/>
    <x v="11"/>
    <x v="11"/>
    <n v="223"/>
    <n v="11.13"/>
    <n v="189"/>
    <n v="13.74"/>
    <n v="34"/>
    <n v="5.49"/>
    <x v="0"/>
    <n v="0"/>
  </r>
  <r>
    <s v="ti.28223"/>
    <x v="0"/>
    <x v="0"/>
    <x v="3"/>
    <s v="丹波市"/>
    <x v="32"/>
    <x v="12"/>
    <x v="12"/>
    <x v="12"/>
    <x v="12"/>
    <n v="71"/>
    <n v="3.54"/>
    <n v="62"/>
    <n v="4.51"/>
    <n v="9"/>
    <n v="1.45"/>
    <x v="0"/>
    <n v="0"/>
  </r>
  <r>
    <s v="ti.28223"/>
    <x v="0"/>
    <x v="0"/>
    <x v="3"/>
    <s v="丹波市"/>
    <x v="32"/>
    <x v="13"/>
    <x v="13"/>
    <x v="13"/>
    <x v="13"/>
    <n v="79"/>
    <n v="3.94"/>
    <n v="39"/>
    <n v="2.83"/>
    <n v="40"/>
    <n v="6.46"/>
    <x v="0"/>
    <n v="0"/>
  </r>
  <r>
    <s v="ti.28223"/>
    <x v="0"/>
    <x v="0"/>
    <x v="3"/>
    <s v="丹波市"/>
    <x v="32"/>
    <x v="14"/>
    <x v="14"/>
    <x v="14"/>
    <x v="14"/>
    <n v="54"/>
    <n v="2.7"/>
    <n v="37"/>
    <n v="2.69"/>
    <n v="15"/>
    <n v="2.42"/>
    <x v="1"/>
    <n v="25"/>
  </r>
  <r>
    <s v="ti.28224"/>
    <x v="0"/>
    <x v="0"/>
    <x v="3"/>
    <s v="南あわじ市"/>
    <x v="33"/>
    <x v="0"/>
    <x v="0"/>
    <x v="0"/>
    <x v="0"/>
    <n v="0"/>
    <n v="0"/>
    <n v="0"/>
    <n v="0"/>
    <n v="0"/>
    <n v="0"/>
    <x v="0"/>
    <n v="0"/>
  </r>
  <r>
    <s v="ti.28224"/>
    <x v="0"/>
    <x v="0"/>
    <x v="3"/>
    <s v="南あわじ市"/>
    <x v="33"/>
    <x v="1"/>
    <x v="1"/>
    <x v="1"/>
    <x v="1"/>
    <n v="194"/>
    <n v="11.01"/>
    <n v="120"/>
    <n v="9.15"/>
    <n v="74"/>
    <n v="16.48"/>
    <x v="0"/>
    <n v="0"/>
  </r>
  <r>
    <s v="ti.28224"/>
    <x v="0"/>
    <x v="0"/>
    <x v="3"/>
    <s v="南あわじ市"/>
    <x v="33"/>
    <x v="2"/>
    <x v="2"/>
    <x v="2"/>
    <x v="2"/>
    <n v="254"/>
    <n v="14.42"/>
    <n v="173"/>
    <n v="13.2"/>
    <n v="81"/>
    <n v="18.04"/>
    <x v="0"/>
    <n v="0"/>
  </r>
  <r>
    <s v="ti.28224"/>
    <x v="0"/>
    <x v="0"/>
    <x v="3"/>
    <s v="南あわじ市"/>
    <x v="33"/>
    <x v="3"/>
    <x v="3"/>
    <x v="3"/>
    <x v="3"/>
    <n v="1"/>
    <n v="0.06"/>
    <n v="0"/>
    <n v="0"/>
    <n v="1"/>
    <n v="0.22"/>
    <x v="0"/>
    <n v="0"/>
  </r>
  <r>
    <s v="ti.28224"/>
    <x v="0"/>
    <x v="0"/>
    <x v="3"/>
    <s v="南あわじ市"/>
    <x v="33"/>
    <x v="4"/>
    <x v="4"/>
    <x v="4"/>
    <x v="4"/>
    <n v="4"/>
    <n v="0.23"/>
    <n v="1"/>
    <n v="0.08"/>
    <n v="3"/>
    <n v="0.67"/>
    <x v="0"/>
    <n v="0"/>
  </r>
  <r>
    <s v="ti.28224"/>
    <x v="0"/>
    <x v="0"/>
    <x v="3"/>
    <s v="南あわじ市"/>
    <x v="33"/>
    <x v="5"/>
    <x v="5"/>
    <x v="5"/>
    <x v="5"/>
    <n v="17"/>
    <n v="0.96"/>
    <n v="1"/>
    <n v="0.08"/>
    <n v="16"/>
    <n v="3.56"/>
    <x v="0"/>
    <n v="0"/>
  </r>
  <r>
    <s v="ti.28224"/>
    <x v="0"/>
    <x v="0"/>
    <x v="3"/>
    <s v="南あわじ市"/>
    <x v="33"/>
    <x v="6"/>
    <x v="6"/>
    <x v="6"/>
    <x v="6"/>
    <n v="554"/>
    <n v="31.44"/>
    <n v="386"/>
    <n v="29.44"/>
    <n v="167"/>
    <n v="37.19"/>
    <x v="6"/>
    <n v="50"/>
  </r>
  <r>
    <s v="ti.28224"/>
    <x v="0"/>
    <x v="0"/>
    <x v="3"/>
    <s v="南あわじ市"/>
    <x v="33"/>
    <x v="7"/>
    <x v="7"/>
    <x v="7"/>
    <x v="7"/>
    <n v="4"/>
    <n v="0.23"/>
    <n v="1"/>
    <n v="0.08"/>
    <n v="3"/>
    <n v="0.67"/>
    <x v="0"/>
    <n v="0"/>
  </r>
  <r>
    <s v="ti.28224"/>
    <x v="0"/>
    <x v="0"/>
    <x v="3"/>
    <s v="南あわじ市"/>
    <x v="33"/>
    <x v="8"/>
    <x v="8"/>
    <x v="8"/>
    <x v="8"/>
    <n v="122"/>
    <n v="6.92"/>
    <n v="88"/>
    <n v="6.71"/>
    <n v="34"/>
    <n v="7.57"/>
    <x v="0"/>
    <n v="0"/>
  </r>
  <r>
    <s v="ti.28224"/>
    <x v="0"/>
    <x v="0"/>
    <x v="3"/>
    <s v="南あわじ市"/>
    <x v="33"/>
    <x v="9"/>
    <x v="9"/>
    <x v="9"/>
    <x v="9"/>
    <n v="44"/>
    <n v="2.5"/>
    <n v="35"/>
    <n v="2.67"/>
    <n v="9"/>
    <n v="2"/>
    <x v="0"/>
    <n v="0"/>
  </r>
  <r>
    <s v="ti.28224"/>
    <x v="0"/>
    <x v="0"/>
    <x v="3"/>
    <s v="南あわじ市"/>
    <x v="33"/>
    <x v="10"/>
    <x v="10"/>
    <x v="10"/>
    <x v="10"/>
    <n v="200"/>
    <n v="11.35"/>
    <n v="191"/>
    <n v="14.57"/>
    <n v="9"/>
    <n v="2"/>
    <x v="0"/>
    <n v="0"/>
  </r>
  <r>
    <s v="ti.28224"/>
    <x v="0"/>
    <x v="0"/>
    <x v="3"/>
    <s v="南あわじ市"/>
    <x v="33"/>
    <x v="11"/>
    <x v="11"/>
    <x v="11"/>
    <x v="11"/>
    <n v="183"/>
    <n v="10.39"/>
    <n v="168"/>
    <n v="12.81"/>
    <n v="14"/>
    <n v="3.12"/>
    <x v="6"/>
    <n v="50"/>
  </r>
  <r>
    <s v="ti.28224"/>
    <x v="0"/>
    <x v="0"/>
    <x v="3"/>
    <s v="南あわじ市"/>
    <x v="33"/>
    <x v="12"/>
    <x v="12"/>
    <x v="12"/>
    <x v="12"/>
    <n v="61"/>
    <n v="3.46"/>
    <n v="57"/>
    <n v="4.3499999999999996"/>
    <n v="4"/>
    <n v="0.89"/>
    <x v="0"/>
    <n v="0"/>
  </r>
  <r>
    <s v="ti.28224"/>
    <x v="0"/>
    <x v="0"/>
    <x v="3"/>
    <s v="南あわじ市"/>
    <x v="33"/>
    <x v="13"/>
    <x v="13"/>
    <x v="13"/>
    <x v="13"/>
    <n v="58"/>
    <n v="3.29"/>
    <n v="42"/>
    <n v="3.2"/>
    <n v="16"/>
    <n v="3.56"/>
    <x v="0"/>
    <n v="0"/>
  </r>
  <r>
    <s v="ti.28224"/>
    <x v="0"/>
    <x v="0"/>
    <x v="3"/>
    <s v="南あわじ市"/>
    <x v="33"/>
    <x v="14"/>
    <x v="14"/>
    <x v="14"/>
    <x v="14"/>
    <n v="66"/>
    <n v="3.75"/>
    <n v="48"/>
    <n v="3.66"/>
    <n v="18"/>
    <n v="4.01"/>
    <x v="0"/>
    <n v="0"/>
  </r>
  <r>
    <s v="ti.28225"/>
    <x v="0"/>
    <x v="0"/>
    <x v="3"/>
    <s v="朝来市"/>
    <x v="34"/>
    <x v="0"/>
    <x v="0"/>
    <x v="0"/>
    <x v="0"/>
    <n v="1"/>
    <n v="0.1"/>
    <n v="0"/>
    <n v="0"/>
    <n v="1"/>
    <n v="0.3"/>
    <x v="0"/>
    <n v="0"/>
  </r>
  <r>
    <s v="ti.28225"/>
    <x v="0"/>
    <x v="0"/>
    <x v="3"/>
    <s v="朝来市"/>
    <x v="34"/>
    <x v="1"/>
    <x v="1"/>
    <x v="1"/>
    <x v="1"/>
    <n v="155"/>
    <n v="15.45"/>
    <n v="80"/>
    <n v="11.99"/>
    <n v="75"/>
    <n v="22.66"/>
    <x v="0"/>
    <n v="0"/>
  </r>
  <r>
    <s v="ti.28225"/>
    <x v="0"/>
    <x v="0"/>
    <x v="3"/>
    <s v="朝来市"/>
    <x v="34"/>
    <x v="2"/>
    <x v="2"/>
    <x v="2"/>
    <x v="2"/>
    <n v="95"/>
    <n v="9.4700000000000006"/>
    <n v="41"/>
    <n v="6.15"/>
    <n v="52"/>
    <n v="15.71"/>
    <x v="1"/>
    <n v="40"/>
  </r>
  <r>
    <s v="ti.28225"/>
    <x v="0"/>
    <x v="0"/>
    <x v="3"/>
    <s v="朝来市"/>
    <x v="34"/>
    <x v="3"/>
    <x v="3"/>
    <x v="3"/>
    <x v="3"/>
    <n v="0"/>
    <n v="0"/>
    <n v="0"/>
    <n v="0"/>
    <n v="0"/>
    <n v="0"/>
    <x v="0"/>
    <n v="0"/>
  </r>
  <r>
    <s v="ti.28225"/>
    <x v="0"/>
    <x v="0"/>
    <x v="3"/>
    <s v="朝来市"/>
    <x v="34"/>
    <x v="4"/>
    <x v="4"/>
    <x v="4"/>
    <x v="4"/>
    <n v="7"/>
    <n v="0.7"/>
    <n v="1"/>
    <n v="0.15"/>
    <n v="6"/>
    <n v="1.81"/>
    <x v="0"/>
    <n v="0"/>
  </r>
  <r>
    <s v="ti.28225"/>
    <x v="0"/>
    <x v="0"/>
    <x v="3"/>
    <s v="朝来市"/>
    <x v="34"/>
    <x v="5"/>
    <x v="5"/>
    <x v="5"/>
    <x v="5"/>
    <n v="10"/>
    <n v="1"/>
    <n v="2"/>
    <n v="0.3"/>
    <n v="8"/>
    <n v="2.42"/>
    <x v="0"/>
    <n v="0"/>
  </r>
  <r>
    <s v="ti.28225"/>
    <x v="0"/>
    <x v="0"/>
    <x v="3"/>
    <s v="朝来市"/>
    <x v="34"/>
    <x v="6"/>
    <x v="6"/>
    <x v="6"/>
    <x v="6"/>
    <n v="283"/>
    <n v="28.22"/>
    <n v="185"/>
    <n v="27.74"/>
    <n v="98"/>
    <n v="29.61"/>
    <x v="0"/>
    <n v="0"/>
  </r>
  <r>
    <s v="ti.28225"/>
    <x v="0"/>
    <x v="0"/>
    <x v="3"/>
    <s v="朝来市"/>
    <x v="34"/>
    <x v="7"/>
    <x v="7"/>
    <x v="7"/>
    <x v="7"/>
    <n v="5"/>
    <n v="0.5"/>
    <n v="3"/>
    <n v="0.45"/>
    <n v="2"/>
    <n v="0.6"/>
    <x v="0"/>
    <n v="0"/>
  </r>
  <r>
    <s v="ti.28225"/>
    <x v="0"/>
    <x v="0"/>
    <x v="3"/>
    <s v="朝来市"/>
    <x v="34"/>
    <x v="8"/>
    <x v="8"/>
    <x v="8"/>
    <x v="8"/>
    <n v="71"/>
    <n v="7.08"/>
    <n v="51"/>
    <n v="7.65"/>
    <n v="19"/>
    <n v="5.74"/>
    <x v="6"/>
    <n v="20"/>
  </r>
  <r>
    <s v="ti.28225"/>
    <x v="0"/>
    <x v="0"/>
    <x v="3"/>
    <s v="朝来市"/>
    <x v="34"/>
    <x v="9"/>
    <x v="9"/>
    <x v="9"/>
    <x v="9"/>
    <n v="40"/>
    <n v="3.99"/>
    <n v="21"/>
    <n v="3.15"/>
    <n v="19"/>
    <n v="5.74"/>
    <x v="0"/>
    <n v="0"/>
  </r>
  <r>
    <s v="ti.28225"/>
    <x v="0"/>
    <x v="0"/>
    <x v="3"/>
    <s v="朝来市"/>
    <x v="34"/>
    <x v="10"/>
    <x v="10"/>
    <x v="10"/>
    <x v="10"/>
    <n v="109"/>
    <n v="10.87"/>
    <n v="97"/>
    <n v="14.54"/>
    <n v="11"/>
    <n v="3.32"/>
    <x v="6"/>
    <n v="20"/>
  </r>
  <r>
    <s v="ti.28225"/>
    <x v="0"/>
    <x v="0"/>
    <x v="3"/>
    <s v="朝来市"/>
    <x v="34"/>
    <x v="11"/>
    <x v="11"/>
    <x v="11"/>
    <x v="11"/>
    <n v="126"/>
    <n v="12.56"/>
    <n v="116"/>
    <n v="17.39"/>
    <n v="10"/>
    <n v="3.02"/>
    <x v="0"/>
    <n v="0"/>
  </r>
  <r>
    <s v="ti.28225"/>
    <x v="0"/>
    <x v="0"/>
    <x v="3"/>
    <s v="朝来市"/>
    <x v="34"/>
    <x v="12"/>
    <x v="12"/>
    <x v="12"/>
    <x v="12"/>
    <n v="43"/>
    <n v="4.29"/>
    <n v="37"/>
    <n v="5.55"/>
    <n v="5"/>
    <n v="1.51"/>
    <x v="6"/>
    <n v="20"/>
  </r>
  <r>
    <s v="ti.28225"/>
    <x v="0"/>
    <x v="0"/>
    <x v="3"/>
    <s v="朝来市"/>
    <x v="34"/>
    <x v="13"/>
    <x v="13"/>
    <x v="13"/>
    <x v="13"/>
    <n v="31"/>
    <n v="3.09"/>
    <n v="20"/>
    <n v="3"/>
    <n v="11"/>
    <n v="3.32"/>
    <x v="0"/>
    <n v="0"/>
  </r>
  <r>
    <s v="ti.28225"/>
    <x v="0"/>
    <x v="0"/>
    <x v="3"/>
    <s v="朝来市"/>
    <x v="34"/>
    <x v="14"/>
    <x v="14"/>
    <x v="14"/>
    <x v="14"/>
    <n v="27"/>
    <n v="2.69"/>
    <n v="13"/>
    <n v="1.95"/>
    <n v="14"/>
    <n v="4.2300000000000004"/>
    <x v="0"/>
    <n v="0"/>
  </r>
  <r>
    <s v="ti.28226"/>
    <x v="0"/>
    <x v="0"/>
    <x v="3"/>
    <s v="淡路市"/>
    <x v="35"/>
    <x v="0"/>
    <x v="0"/>
    <x v="0"/>
    <x v="0"/>
    <n v="0"/>
    <n v="0"/>
    <n v="0"/>
    <n v="0"/>
    <n v="0"/>
    <n v="0"/>
    <x v="0"/>
    <n v="0"/>
  </r>
  <r>
    <s v="ti.28226"/>
    <x v="0"/>
    <x v="0"/>
    <x v="3"/>
    <s v="淡路市"/>
    <x v="35"/>
    <x v="1"/>
    <x v="1"/>
    <x v="1"/>
    <x v="1"/>
    <n v="188"/>
    <n v="13.45"/>
    <n v="111"/>
    <n v="10.69"/>
    <n v="77"/>
    <n v="21.63"/>
    <x v="0"/>
    <n v="0"/>
  </r>
  <r>
    <s v="ti.28226"/>
    <x v="0"/>
    <x v="0"/>
    <x v="3"/>
    <s v="淡路市"/>
    <x v="35"/>
    <x v="2"/>
    <x v="2"/>
    <x v="2"/>
    <x v="2"/>
    <n v="209"/>
    <n v="14.95"/>
    <n v="151"/>
    <n v="14.55"/>
    <n v="58"/>
    <n v="16.29"/>
    <x v="0"/>
    <n v="0"/>
  </r>
  <r>
    <s v="ti.28226"/>
    <x v="0"/>
    <x v="0"/>
    <x v="3"/>
    <s v="淡路市"/>
    <x v="35"/>
    <x v="3"/>
    <x v="3"/>
    <x v="3"/>
    <x v="3"/>
    <n v="2"/>
    <n v="0.14000000000000001"/>
    <n v="0"/>
    <n v="0"/>
    <n v="2"/>
    <n v="0.56000000000000005"/>
    <x v="0"/>
    <n v="0"/>
  </r>
  <r>
    <s v="ti.28226"/>
    <x v="0"/>
    <x v="0"/>
    <x v="3"/>
    <s v="淡路市"/>
    <x v="35"/>
    <x v="4"/>
    <x v="4"/>
    <x v="4"/>
    <x v="4"/>
    <n v="2"/>
    <n v="0.14000000000000001"/>
    <n v="1"/>
    <n v="0.1"/>
    <n v="1"/>
    <n v="0.28000000000000003"/>
    <x v="0"/>
    <n v="0"/>
  </r>
  <r>
    <s v="ti.28226"/>
    <x v="0"/>
    <x v="0"/>
    <x v="3"/>
    <s v="淡路市"/>
    <x v="35"/>
    <x v="5"/>
    <x v="5"/>
    <x v="5"/>
    <x v="5"/>
    <n v="9"/>
    <n v="0.64"/>
    <n v="2"/>
    <n v="0.19"/>
    <n v="7"/>
    <n v="1.97"/>
    <x v="0"/>
    <n v="0"/>
  </r>
  <r>
    <s v="ti.28226"/>
    <x v="0"/>
    <x v="0"/>
    <x v="3"/>
    <s v="淡路市"/>
    <x v="35"/>
    <x v="6"/>
    <x v="6"/>
    <x v="6"/>
    <x v="6"/>
    <n v="443"/>
    <n v="31.69"/>
    <n v="329"/>
    <n v="31.7"/>
    <n v="112"/>
    <n v="31.46"/>
    <x v="1"/>
    <n v="50"/>
  </r>
  <r>
    <s v="ti.28226"/>
    <x v="0"/>
    <x v="0"/>
    <x v="3"/>
    <s v="淡路市"/>
    <x v="35"/>
    <x v="7"/>
    <x v="7"/>
    <x v="7"/>
    <x v="7"/>
    <n v="5"/>
    <n v="0.36"/>
    <n v="2"/>
    <n v="0.19"/>
    <n v="3"/>
    <n v="0.84"/>
    <x v="0"/>
    <n v="0"/>
  </r>
  <r>
    <s v="ti.28226"/>
    <x v="0"/>
    <x v="0"/>
    <x v="3"/>
    <s v="淡路市"/>
    <x v="35"/>
    <x v="8"/>
    <x v="8"/>
    <x v="8"/>
    <x v="8"/>
    <n v="62"/>
    <n v="4.43"/>
    <n v="40"/>
    <n v="3.85"/>
    <n v="22"/>
    <n v="6.18"/>
    <x v="0"/>
    <n v="0"/>
  </r>
  <r>
    <s v="ti.28226"/>
    <x v="0"/>
    <x v="0"/>
    <x v="3"/>
    <s v="淡路市"/>
    <x v="35"/>
    <x v="9"/>
    <x v="9"/>
    <x v="9"/>
    <x v="9"/>
    <n v="42"/>
    <n v="3"/>
    <n v="26"/>
    <n v="2.5"/>
    <n v="16"/>
    <n v="4.49"/>
    <x v="0"/>
    <n v="0"/>
  </r>
  <r>
    <s v="ti.28226"/>
    <x v="0"/>
    <x v="0"/>
    <x v="3"/>
    <s v="淡路市"/>
    <x v="35"/>
    <x v="10"/>
    <x v="10"/>
    <x v="10"/>
    <x v="10"/>
    <n v="178"/>
    <n v="12.73"/>
    <n v="159"/>
    <n v="15.32"/>
    <n v="18"/>
    <n v="5.0599999999999996"/>
    <x v="6"/>
    <n v="25"/>
  </r>
  <r>
    <s v="ti.28226"/>
    <x v="0"/>
    <x v="0"/>
    <x v="3"/>
    <s v="淡路市"/>
    <x v="35"/>
    <x v="11"/>
    <x v="11"/>
    <x v="11"/>
    <x v="11"/>
    <n v="137"/>
    <n v="9.8000000000000007"/>
    <n v="123"/>
    <n v="11.85"/>
    <n v="14"/>
    <n v="3.93"/>
    <x v="0"/>
    <n v="0"/>
  </r>
  <r>
    <s v="ti.28226"/>
    <x v="0"/>
    <x v="0"/>
    <x v="3"/>
    <s v="淡路市"/>
    <x v="35"/>
    <x v="12"/>
    <x v="12"/>
    <x v="12"/>
    <x v="12"/>
    <n v="44"/>
    <n v="3.15"/>
    <n v="40"/>
    <n v="3.85"/>
    <n v="4"/>
    <n v="1.1200000000000001"/>
    <x v="0"/>
    <n v="0"/>
  </r>
  <r>
    <s v="ti.28226"/>
    <x v="0"/>
    <x v="0"/>
    <x v="3"/>
    <s v="淡路市"/>
    <x v="35"/>
    <x v="13"/>
    <x v="13"/>
    <x v="13"/>
    <x v="13"/>
    <n v="44"/>
    <n v="3.15"/>
    <n v="36"/>
    <n v="3.47"/>
    <n v="8"/>
    <n v="2.25"/>
    <x v="0"/>
    <n v="0"/>
  </r>
  <r>
    <s v="ti.28226"/>
    <x v="0"/>
    <x v="0"/>
    <x v="3"/>
    <s v="淡路市"/>
    <x v="35"/>
    <x v="14"/>
    <x v="14"/>
    <x v="14"/>
    <x v="14"/>
    <n v="33"/>
    <n v="2.36"/>
    <n v="18"/>
    <n v="1.73"/>
    <n v="14"/>
    <n v="3.93"/>
    <x v="6"/>
    <n v="25"/>
  </r>
  <r>
    <s v="ti.28227"/>
    <x v="0"/>
    <x v="0"/>
    <x v="3"/>
    <s v="宍粟市"/>
    <x v="36"/>
    <x v="0"/>
    <x v="0"/>
    <x v="0"/>
    <x v="0"/>
    <n v="0"/>
    <n v="0"/>
    <n v="0"/>
    <n v="0"/>
    <n v="0"/>
    <n v="0"/>
    <x v="0"/>
    <m/>
  </r>
  <r>
    <s v="ti.28227"/>
    <x v="0"/>
    <x v="0"/>
    <x v="3"/>
    <s v="宍粟市"/>
    <x v="36"/>
    <x v="1"/>
    <x v="1"/>
    <x v="1"/>
    <x v="1"/>
    <n v="325"/>
    <n v="20.52"/>
    <n v="214"/>
    <n v="18.43"/>
    <n v="111"/>
    <n v="26.24"/>
    <x v="0"/>
    <m/>
  </r>
  <r>
    <s v="ti.28227"/>
    <x v="0"/>
    <x v="0"/>
    <x v="3"/>
    <s v="宍粟市"/>
    <x v="36"/>
    <x v="2"/>
    <x v="2"/>
    <x v="2"/>
    <x v="2"/>
    <n v="406"/>
    <n v="25.63"/>
    <n v="299"/>
    <n v="25.75"/>
    <n v="107"/>
    <n v="25.3"/>
    <x v="0"/>
    <m/>
  </r>
  <r>
    <s v="ti.28227"/>
    <x v="0"/>
    <x v="0"/>
    <x v="3"/>
    <s v="宍粟市"/>
    <x v="36"/>
    <x v="3"/>
    <x v="3"/>
    <x v="3"/>
    <x v="3"/>
    <n v="1"/>
    <n v="0.06"/>
    <n v="0"/>
    <n v="0"/>
    <n v="1"/>
    <n v="0.24"/>
    <x v="0"/>
    <m/>
  </r>
  <r>
    <s v="ti.28227"/>
    <x v="0"/>
    <x v="0"/>
    <x v="3"/>
    <s v="宍粟市"/>
    <x v="36"/>
    <x v="4"/>
    <x v="4"/>
    <x v="4"/>
    <x v="4"/>
    <n v="5"/>
    <n v="0.32"/>
    <n v="1"/>
    <n v="0.09"/>
    <n v="4"/>
    <n v="0.95"/>
    <x v="0"/>
    <m/>
  </r>
  <r>
    <s v="ti.28227"/>
    <x v="0"/>
    <x v="0"/>
    <x v="3"/>
    <s v="宍粟市"/>
    <x v="36"/>
    <x v="5"/>
    <x v="5"/>
    <x v="5"/>
    <x v="5"/>
    <n v="15"/>
    <n v="0.95"/>
    <n v="8"/>
    <n v="0.69"/>
    <n v="7"/>
    <n v="1.65"/>
    <x v="0"/>
    <m/>
  </r>
  <r>
    <s v="ti.28227"/>
    <x v="0"/>
    <x v="0"/>
    <x v="3"/>
    <s v="宍粟市"/>
    <x v="36"/>
    <x v="6"/>
    <x v="6"/>
    <x v="6"/>
    <x v="6"/>
    <n v="335"/>
    <n v="21.15"/>
    <n v="233"/>
    <n v="20.07"/>
    <n v="102"/>
    <n v="24.11"/>
    <x v="0"/>
    <m/>
  </r>
  <r>
    <s v="ti.28227"/>
    <x v="0"/>
    <x v="0"/>
    <x v="3"/>
    <s v="宍粟市"/>
    <x v="36"/>
    <x v="7"/>
    <x v="7"/>
    <x v="7"/>
    <x v="7"/>
    <n v="4"/>
    <n v="0.25"/>
    <n v="1"/>
    <n v="0.09"/>
    <n v="3"/>
    <n v="0.71"/>
    <x v="0"/>
    <m/>
  </r>
  <r>
    <s v="ti.28227"/>
    <x v="0"/>
    <x v="0"/>
    <x v="3"/>
    <s v="宍粟市"/>
    <x v="36"/>
    <x v="8"/>
    <x v="8"/>
    <x v="8"/>
    <x v="8"/>
    <n v="53"/>
    <n v="3.35"/>
    <n v="41"/>
    <n v="3.53"/>
    <n v="12"/>
    <n v="2.84"/>
    <x v="0"/>
    <m/>
  </r>
  <r>
    <s v="ti.28227"/>
    <x v="0"/>
    <x v="0"/>
    <x v="3"/>
    <s v="宍粟市"/>
    <x v="36"/>
    <x v="9"/>
    <x v="9"/>
    <x v="9"/>
    <x v="9"/>
    <n v="40"/>
    <n v="2.5299999999999998"/>
    <n v="25"/>
    <n v="2.15"/>
    <n v="15"/>
    <n v="3.55"/>
    <x v="0"/>
    <m/>
  </r>
  <r>
    <s v="ti.28227"/>
    <x v="0"/>
    <x v="0"/>
    <x v="3"/>
    <s v="宍粟市"/>
    <x v="36"/>
    <x v="10"/>
    <x v="10"/>
    <x v="10"/>
    <x v="10"/>
    <n v="109"/>
    <n v="6.88"/>
    <n v="96"/>
    <n v="8.27"/>
    <n v="13"/>
    <n v="3.07"/>
    <x v="0"/>
    <m/>
  </r>
  <r>
    <s v="ti.28227"/>
    <x v="0"/>
    <x v="0"/>
    <x v="3"/>
    <s v="宍粟市"/>
    <x v="36"/>
    <x v="11"/>
    <x v="11"/>
    <x v="11"/>
    <x v="11"/>
    <n v="149"/>
    <n v="9.41"/>
    <n v="134"/>
    <n v="11.54"/>
    <n v="15"/>
    <n v="3.55"/>
    <x v="0"/>
    <m/>
  </r>
  <r>
    <s v="ti.28227"/>
    <x v="0"/>
    <x v="0"/>
    <x v="3"/>
    <s v="宍粟市"/>
    <x v="36"/>
    <x v="12"/>
    <x v="12"/>
    <x v="12"/>
    <x v="12"/>
    <n v="59"/>
    <n v="3.72"/>
    <n v="55"/>
    <n v="4.74"/>
    <n v="4"/>
    <n v="0.95"/>
    <x v="0"/>
    <m/>
  </r>
  <r>
    <s v="ti.28227"/>
    <x v="0"/>
    <x v="0"/>
    <x v="3"/>
    <s v="宍粟市"/>
    <x v="36"/>
    <x v="13"/>
    <x v="13"/>
    <x v="13"/>
    <x v="13"/>
    <n v="46"/>
    <n v="2.9"/>
    <n v="34"/>
    <n v="2.93"/>
    <n v="12"/>
    <n v="2.84"/>
    <x v="0"/>
    <m/>
  </r>
  <r>
    <s v="ti.28227"/>
    <x v="0"/>
    <x v="0"/>
    <x v="3"/>
    <s v="宍粟市"/>
    <x v="36"/>
    <x v="14"/>
    <x v="14"/>
    <x v="14"/>
    <x v="14"/>
    <n v="37"/>
    <n v="2.34"/>
    <n v="20"/>
    <n v="1.72"/>
    <n v="17"/>
    <n v="4.0199999999999996"/>
    <x v="0"/>
    <m/>
  </r>
  <r>
    <s v="ti.28228"/>
    <x v="0"/>
    <x v="0"/>
    <x v="3"/>
    <s v="加東市"/>
    <x v="37"/>
    <x v="0"/>
    <x v="0"/>
    <x v="0"/>
    <x v="0"/>
    <n v="0"/>
    <n v="0"/>
    <n v="0"/>
    <n v="0"/>
    <n v="0"/>
    <n v="0"/>
    <x v="0"/>
    <n v="0"/>
  </r>
  <r>
    <s v="ti.28228"/>
    <x v="0"/>
    <x v="0"/>
    <x v="3"/>
    <s v="加東市"/>
    <x v="37"/>
    <x v="1"/>
    <x v="1"/>
    <x v="1"/>
    <x v="1"/>
    <n v="155"/>
    <n v="15.56"/>
    <n v="85"/>
    <n v="14.26"/>
    <n v="70"/>
    <n v="17.63"/>
    <x v="0"/>
    <n v="0"/>
  </r>
  <r>
    <s v="ti.28228"/>
    <x v="0"/>
    <x v="0"/>
    <x v="3"/>
    <s v="加東市"/>
    <x v="37"/>
    <x v="2"/>
    <x v="2"/>
    <x v="2"/>
    <x v="2"/>
    <n v="172"/>
    <n v="17.27"/>
    <n v="84"/>
    <n v="14.09"/>
    <n v="88"/>
    <n v="22.17"/>
    <x v="0"/>
    <n v="0"/>
  </r>
  <r>
    <s v="ti.28228"/>
    <x v="0"/>
    <x v="0"/>
    <x v="3"/>
    <s v="加東市"/>
    <x v="37"/>
    <x v="3"/>
    <x v="3"/>
    <x v="3"/>
    <x v="3"/>
    <n v="0"/>
    <n v="0"/>
    <n v="0"/>
    <n v="0"/>
    <n v="0"/>
    <n v="0"/>
    <x v="0"/>
    <n v="0"/>
  </r>
  <r>
    <s v="ti.28228"/>
    <x v="0"/>
    <x v="0"/>
    <x v="3"/>
    <s v="加東市"/>
    <x v="37"/>
    <x v="4"/>
    <x v="4"/>
    <x v="4"/>
    <x v="4"/>
    <n v="4"/>
    <n v="0.4"/>
    <n v="0"/>
    <n v="0"/>
    <n v="4"/>
    <n v="1.01"/>
    <x v="0"/>
    <n v="0"/>
  </r>
  <r>
    <s v="ti.28228"/>
    <x v="0"/>
    <x v="0"/>
    <x v="3"/>
    <s v="加東市"/>
    <x v="37"/>
    <x v="5"/>
    <x v="5"/>
    <x v="5"/>
    <x v="5"/>
    <n v="11"/>
    <n v="1.1000000000000001"/>
    <n v="3"/>
    <n v="0.5"/>
    <n v="8"/>
    <n v="2.02"/>
    <x v="0"/>
    <n v="0"/>
  </r>
  <r>
    <s v="ti.28228"/>
    <x v="0"/>
    <x v="0"/>
    <x v="3"/>
    <s v="加東市"/>
    <x v="37"/>
    <x v="6"/>
    <x v="6"/>
    <x v="6"/>
    <x v="6"/>
    <n v="259"/>
    <n v="26"/>
    <n v="144"/>
    <n v="24.16"/>
    <n v="115"/>
    <n v="28.97"/>
    <x v="0"/>
    <n v="0"/>
  </r>
  <r>
    <s v="ti.28228"/>
    <x v="0"/>
    <x v="0"/>
    <x v="3"/>
    <s v="加東市"/>
    <x v="37"/>
    <x v="7"/>
    <x v="7"/>
    <x v="7"/>
    <x v="7"/>
    <n v="4"/>
    <n v="0.4"/>
    <n v="1"/>
    <n v="0.17"/>
    <n v="3"/>
    <n v="0.76"/>
    <x v="0"/>
    <n v="0"/>
  </r>
  <r>
    <s v="ti.28228"/>
    <x v="0"/>
    <x v="0"/>
    <x v="3"/>
    <s v="加東市"/>
    <x v="37"/>
    <x v="8"/>
    <x v="8"/>
    <x v="8"/>
    <x v="8"/>
    <n v="51"/>
    <n v="5.12"/>
    <n v="26"/>
    <n v="4.3600000000000003"/>
    <n v="25"/>
    <n v="6.3"/>
    <x v="0"/>
    <n v="0"/>
  </r>
  <r>
    <s v="ti.28228"/>
    <x v="0"/>
    <x v="0"/>
    <x v="3"/>
    <s v="加東市"/>
    <x v="37"/>
    <x v="9"/>
    <x v="9"/>
    <x v="9"/>
    <x v="9"/>
    <n v="41"/>
    <n v="4.12"/>
    <n v="26"/>
    <n v="4.3600000000000003"/>
    <n v="15"/>
    <n v="3.78"/>
    <x v="0"/>
    <n v="0"/>
  </r>
  <r>
    <s v="ti.28228"/>
    <x v="0"/>
    <x v="0"/>
    <x v="3"/>
    <s v="加東市"/>
    <x v="37"/>
    <x v="10"/>
    <x v="10"/>
    <x v="10"/>
    <x v="10"/>
    <n v="120"/>
    <n v="12.05"/>
    <n v="103"/>
    <n v="17.28"/>
    <n v="17"/>
    <n v="4.28"/>
    <x v="0"/>
    <n v="0"/>
  </r>
  <r>
    <s v="ti.28228"/>
    <x v="0"/>
    <x v="0"/>
    <x v="3"/>
    <s v="加東市"/>
    <x v="37"/>
    <x v="11"/>
    <x v="11"/>
    <x v="11"/>
    <x v="11"/>
    <n v="95"/>
    <n v="9.5399999999999991"/>
    <n v="72"/>
    <n v="12.08"/>
    <n v="23"/>
    <n v="5.79"/>
    <x v="0"/>
    <n v="0"/>
  </r>
  <r>
    <s v="ti.28228"/>
    <x v="0"/>
    <x v="0"/>
    <x v="3"/>
    <s v="加東市"/>
    <x v="37"/>
    <x v="12"/>
    <x v="12"/>
    <x v="12"/>
    <x v="12"/>
    <n v="25"/>
    <n v="2.5099999999999998"/>
    <n v="16"/>
    <n v="2.68"/>
    <n v="7"/>
    <n v="1.76"/>
    <x v="1"/>
    <n v="66.67"/>
  </r>
  <r>
    <s v="ti.28228"/>
    <x v="0"/>
    <x v="0"/>
    <x v="3"/>
    <s v="加東市"/>
    <x v="37"/>
    <x v="13"/>
    <x v="13"/>
    <x v="13"/>
    <x v="13"/>
    <n v="25"/>
    <n v="2.5099999999999998"/>
    <n v="19"/>
    <n v="3.19"/>
    <n v="6"/>
    <n v="1.51"/>
    <x v="0"/>
    <n v="0"/>
  </r>
  <r>
    <s v="ti.28228"/>
    <x v="0"/>
    <x v="0"/>
    <x v="3"/>
    <s v="加東市"/>
    <x v="37"/>
    <x v="14"/>
    <x v="14"/>
    <x v="14"/>
    <x v="14"/>
    <n v="34"/>
    <n v="3.41"/>
    <n v="17"/>
    <n v="2.85"/>
    <n v="16"/>
    <n v="4.03"/>
    <x v="6"/>
    <n v="33.33"/>
  </r>
  <r>
    <s v="ti.28229"/>
    <x v="0"/>
    <x v="0"/>
    <x v="3"/>
    <s v="たつの市"/>
    <x v="38"/>
    <x v="0"/>
    <x v="0"/>
    <x v="0"/>
    <x v="0"/>
    <n v="0"/>
    <n v="0"/>
    <n v="0"/>
    <n v="0"/>
    <n v="0"/>
    <n v="0"/>
    <x v="0"/>
    <n v="0"/>
  </r>
  <r>
    <s v="ti.28229"/>
    <x v="0"/>
    <x v="0"/>
    <x v="3"/>
    <s v="たつの市"/>
    <x v="38"/>
    <x v="1"/>
    <x v="1"/>
    <x v="1"/>
    <x v="1"/>
    <n v="307"/>
    <n v="15.35"/>
    <n v="157"/>
    <n v="11.91"/>
    <n v="150"/>
    <n v="22.29"/>
    <x v="0"/>
    <n v="0"/>
  </r>
  <r>
    <s v="ti.28229"/>
    <x v="0"/>
    <x v="0"/>
    <x v="3"/>
    <s v="たつの市"/>
    <x v="38"/>
    <x v="2"/>
    <x v="2"/>
    <x v="2"/>
    <x v="2"/>
    <n v="429"/>
    <n v="21.45"/>
    <n v="311"/>
    <n v="23.6"/>
    <n v="118"/>
    <n v="17.53"/>
    <x v="0"/>
    <n v="0"/>
  </r>
  <r>
    <s v="ti.28229"/>
    <x v="0"/>
    <x v="0"/>
    <x v="3"/>
    <s v="たつの市"/>
    <x v="38"/>
    <x v="3"/>
    <x v="3"/>
    <x v="3"/>
    <x v="3"/>
    <n v="0"/>
    <n v="0"/>
    <n v="0"/>
    <n v="0"/>
    <n v="0"/>
    <n v="0"/>
    <x v="0"/>
    <n v="0"/>
  </r>
  <r>
    <s v="ti.28229"/>
    <x v="0"/>
    <x v="0"/>
    <x v="3"/>
    <s v="たつの市"/>
    <x v="38"/>
    <x v="4"/>
    <x v="4"/>
    <x v="4"/>
    <x v="4"/>
    <n v="7"/>
    <n v="0.35"/>
    <n v="1"/>
    <n v="0.08"/>
    <n v="6"/>
    <n v="0.89"/>
    <x v="0"/>
    <n v="0"/>
  </r>
  <r>
    <s v="ti.28229"/>
    <x v="0"/>
    <x v="0"/>
    <x v="3"/>
    <s v="たつの市"/>
    <x v="38"/>
    <x v="5"/>
    <x v="5"/>
    <x v="5"/>
    <x v="5"/>
    <n v="27"/>
    <n v="1.35"/>
    <n v="5"/>
    <n v="0.38"/>
    <n v="22"/>
    <n v="3.27"/>
    <x v="0"/>
    <n v="0"/>
  </r>
  <r>
    <s v="ti.28229"/>
    <x v="0"/>
    <x v="0"/>
    <x v="3"/>
    <s v="たつの市"/>
    <x v="38"/>
    <x v="6"/>
    <x v="6"/>
    <x v="6"/>
    <x v="6"/>
    <n v="522"/>
    <n v="26.1"/>
    <n v="322"/>
    <n v="24.43"/>
    <n v="198"/>
    <n v="29.42"/>
    <x v="1"/>
    <n v="22.22"/>
  </r>
  <r>
    <s v="ti.28229"/>
    <x v="0"/>
    <x v="0"/>
    <x v="3"/>
    <s v="たつの市"/>
    <x v="38"/>
    <x v="7"/>
    <x v="7"/>
    <x v="7"/>
    <x v="7"/>
    <n v="17"/>
    <n v="0.85"/>
    <n v="7"/>
    <n v="0.53"/>
    <n v="10"/>
    <n v="1.49"/>
    <x v="0"/>
    <n v="0"/>
  </r>
  <r>
    <s v="ti.28229"/>
    <x v="0"/>
    <x v="0"/>
    <x v="3"/>
    <s v="たつの市"/>
    <x v="38"/>
    <x v="8"/>
    <x v="8"/>
    <x v="8"/>
    <x v="8"/>
    <n v="97"/>
    <n v="4.8499999999999996"/>
    <n v="59"/>
    <n v="4.4800000000000004"/>
    <n v="38"/>
    <n v="5.65"/>
    <x v="0"/>
    <n v="0"/>
  </r>
  <r>
    <s v="ti.28229"/>
    <x v="0"/>
    <x v="0"/>
    <x v="3"/>
    <s v="たつの市"/>
    <x v="38"/>
    <x v="9"/>
    <x v="9"/>
    <x v="9"/>
    <x v="9"/>
    <n v="63"/>
    <n v="3.15"/>
    <n v="43"/>
    <n v="3.26"/>
    <n v="20"/>
    <n v="2.97"/>
    <x v="0"/>
    <n v="0"/>
  </r>
  <r>
    <s v="ti.28229"/>
    <x v="0"/>
    <x v="0"/>
    <x v="3"/>
    <s v="たつの市"/>
    <x v="38"/>
    <x v="10"/>
    <x v="10"/>
    <x v="10"/>
    <x v="10"/>
    <n v="134"/>
    <n v="6.7"/>
    <n v="115"/>
    <n v="8.73"/>
    <n v="19"/>
    <n v="2.82"/>
    <x v="0"/>
    <n v="0"/>
  </r>
  <r>
    <s v="ti.28229"/>
    <x v="0"/>
    <x v="0"/>
    <x v="3"/>
    <s v="たつの市"/>
    <x v="38"/>
    <x v="11"/>
    <x v="11"/>
    <x v="11"/>
    <x v="11"/>
    <n v="199"/>
    <n v="9.9499999999999993"/>
    <n v="162"/>
    <n v="12.29"/>
    <n v="37"/>
    <n v="5.5"/>
    <x v="0"/>
    <n v="0"/>
  </r>
  <r>
    <s v="ti.28229"/>
    <x v="0"/>
    <x v="0"/>
    <x v="3"/>
    <s v="たつの市"/>
    <x v="38"/>
    <x v="12"/>
    <x v="12"/>
    <x v="12"/>
    <x v="12"/>
    <n v="97"/>
    <n v="4.8499999999999996"/>
    <n v="80"/>
    <n v="6.07"/>
    <n v="16"/>
    <n v="2.38"/>
    <x v="6"/>
    <n v="11.11"/>
  </r>
  <r>
    <s v="ti.28229"/>
    <x v="0"/>
    <x v="0"/>
    <x v="3"/>
    <s v="たつの市"/>
    <x v="38"/>
    <x v="13"/>
    <x v="13"/>
    <x v="13"/>
    <x v="13"/>
    <n v="57"/>
    <n v="2.85"/>
    <n v="33"/>
    <n v="2.5"/>
    <n v="23"/>
    <n v="3.42"/>
    <x v="6"/>
    <n v="11.11"/>
  </r>
  <r>
    <s v="ti.28229"/>
    <x v="0"/>
    <x v="0"/>
    <x v="3"/>
    <s v="たつの市"/>
    <x v="38"/>
    <x v="14"/>
    <x v="14"/>
    <x v="14"/>
    <x v="14"/>
    <n v="44"/>
    <n v="2.2000000000000002"/>
    <n v="23"/>
    <n v="1.75"/>
    <n v="16"/>
    <n v="2.38"/>
    <x v="8"/>
    <n v="55.56"/>
  </r>
  <r>
    <s v="ti.28301"/>
    <x v="0"/>
    <x v="0"/>
    <x v="4"/>
    <s v="川辺郡猪名川町"/>
    <x v="39"/>
    <x v="0"/>
    <x v="0"/>
    <x v="0"/>
    <x v="0"/>
    <n v="0"/>
    <n v="0"/>
    <n v="0"/>
    <n v="0"/>
    <n v="0"/>
    <n v="0"/>
    <x v="0"/>
    <m/>
  </r>
  <r>
    <s v="ti.28301"/>
    <x v="0"/>
    <x v="0"/>
    <x v="4"/>
    <s v="川辺郡猪名川町"/>
    <x v="39"/>
    <x v="1"/>
    <x v="1"/>
    <x v="1"/>
    <x v="1"/>
    <n v="71"/>
    <n v="24.91"/>
    <n v="28"/>
    <n v="19.72"/>
    <n v="43"/>
    <n v="30.07"/>
    <x v="0"/>
    <m/>
  </r>
  <r>
    <s v="ti.28301"/>
    <x v="0"/>
    <x v="0"/>
    <x v="4"/>
    <s v="川辺郡猪名川町"/>
    <x v="39"/>
    <x v="2"/>
    <x v="2"/>
    <x v="2"/>
    <x v="2"/>
    <n v="18"/>
    <n v="6.32"/>
    <n v="7"/>
    <n v="4.93"/>
    <n v="11"/>
    <n v="7.69"/>
    <x v="0"/>
    <m/>
  </r>
  <r>
    <s v="ti.28301"/>
    <x v="0"/>
    <x v="0"/>
    <x v="4"/>
    <s v="川辺郡猪名川町"/>
    <x v="39"/>
    <x v="3"/>
    <x v="3"/>
    <x v="3"/>
    <x v="3"/>
    <n v="0"/>
    <n v="0"/>
    <n v="0"/>
    <n v="0"/>
    <n v="0"/>
    <n v="0"/>
    <x v="0"/>
    <m/>
  </r>
  <r>
    <s v="ti.28301"/>
    <x v="0"/>
    <x v="0"/>
    <x v="4"/>
    <s v="川辺郡猪名川町"/>
    <x v="39"/>
    <x v="4"/>
    <x v="4"/>
    <x v="4"/>
    <x v="4"/>
    <n v="3"/>
    <n v="1.05"/>
    <n v="0"/>
    <n v="0"/>
    <n v="3"/>
    <n v="2.1"/>
    <x v="0"/>
    <m/>
  </r>
  <r>
    <s v="ti.28301"/>
    <x v="0"/>
    <x v="0"/>
    <x v="4"/>
    <s v="川辺郡猪名川町"/>
    <x v="39"/>
    <x v="5"/>
    <x v="5"/>
    <x v="5"/>
    <x v="5"/>
    <n v="1"/>
    <n v="0.35"/>
    <n v="0"/>
    <n v="0"/>
    <n v="1"/>
    <n v="0.7"/>
    <x v="0"/>
    <m/>
  </r>
  <r>
    <s v="ti.28301"/>
    <x v="0"/>
    <x v="0"/>
    <x v="4"/>
    <s v="川辺郡猪名川町"/>
    <x v="39"/>
    <x v="6"/>
    <x v="6"/>
    <x v="6"/>
    <x v="6"/>
    <n v="60"/>
    <n v="21.05"/>
    <n v="27"/>
    <n v="19.010000000000002"/>
    <n v="33"/>
    <n v="23.08"/>
    <x v="0"/>
    <m/>
  </r>
  <r>
    <s v="ti.28301"/>
    <x v="0"/>
    <x v="0"/>
    <x v="4"/>
    <s v="川辺郡猪名川町"/>
    <x v="39"/>
    <x v="7"/>
    <x v="7"/>
    <x v="7"/>
    <x v="7"/>
    <n v="4"/>
    <n v="1.4"/>
    <n v="0"/>
    <n v="0"/>
    <n v="4"/>
    <n v="2.8"/>
    <x v="0"/>
    <m/>
  </r>
  <r>
    <s v="ti.28301"/>
    <x v="0"/>
    <x v="0"/>
    <x v="4"/>
    <s v="川辺郡猪名川町"/>
    <x v="39"/>
    <x v="8"/>
    <x v="8"/>
    <x v="8"/>
    <x v="8"/>
    <n v="8"/>
    <n v="2.81"/>
    <n v="2"/>
    <n v="1.41"/>
    <n v="6"/>
    <n v="4.2"/>
    <x v="0"/>
    <m/>
  </r>
  <r>
    <s v="ti.28301"/>
    <x v="0"/>
    <x v="0"/>
    <x v="4"/>
    <s v="川辺郡猪名川町"/>
    <x v="39"/>
    <x v="9"/>
    <x v="9"/>
    <x v="9"/>
    <x v="9"/>
    <n v="20"/>
    <n v="7.02"/>
    <n v="10"/>
    <n v="7.04"/>
    <n v="10"/>
    <n v="6.99"/>
    <x v="0"/>
    <m/>
  </r>
  <r>
    <s v="ti.28301"/>
    <x v="0"/>
    <x v="0"/>
    <x v="4"/>
    <s v="川辺郡猪名川町"/>
    <x v="39"/>
    <x v="10"/>
    <x v="10"/>
    <x v="10"/>
    <x v="10"/>
    <n v="27"/>
    <n v="9.4700000000000006"/>
    <n v="23"/>
    <n v="16.2"/>
    <n v="4"/>
    <n v="2.8"/>
    <x v="0"/>
    <m/>
  </r>
  <r>
    <s v="ti.28301"/>
    <x v="0"/>
    <x v="0"/>
    <x v="4"/>
    <s v="川辺郡猪名川町"/>
    <x v="39"/>
    <x v="11"/>
    <x v="11"/>
    <x v="11"/>
    <x v="11"/>
    <n v="37"/>
    <n v="12.98"/>
    <n v="24"/>
    <n v="16.899999999999999"/>
    <n v="13"/>
    <n v="9.09"/>
    <x v="0"/>
    <m/>
  </r>
  <r>
    <s v="ti.28301"/>
    <x v="0"/>
    <x v="0"/>
    <x v="4"/>
    <s v="川辺郡猪名川町"/>
    <x v="39"/>
    <x v="12"/>
    <x v="12"/>
    <x v="12"/>
    <x v="12"/>
    <n v="13"/>
    <n v="4.5599999999999996"/>
    <n v="10"/>
    <n v="7.04"/>
    <n v="3"/>
    <n v="2.1"/>
    <x v="0"/>
    <m/>
  </r>
  <r>
    <s v="ti.28301"/>
    <x v="0"/>
    <x v="0"/>
    <x v="4"/>
    <s v="川辺郡猪名川町"/>
    <x v="39"/>
    <x v="13"/>
    <x v="13"/>
    <x v="13"/>
    <x v="13"/>
    <n v="11"/>
    <n v="3.86"/>
    <n v="6"/>
    <n v="4.2300000000000004"/>
    <n v="5"/>
    <n v="3.5"/>
    <x v="0"/>
    <m/>
  </r>
  <r>
    <s v="ti.28301"/>
    <x v="0"/>
    <x v="0"/>
    <x v="4"/>
    <s v="川辺郡猪名川町"/>
    <x v="39"/>
    <x v="14"/>
    <x v="14"/>
    <x v="14"/>
    <x v="14"/>
    <n v="12"/>
    <n v="4.21"/>
    <n v="5"/>
    <n v="3.52"/>
    <n v="7"/>
    <n v="4.9000000000000004"/>
    <x v="0"/>
    <m/>
  </r>
  <r>
    <s v="ti.28365"/>
    <x v="0"/>
    <x v="0"/>
    <x v="4"/>
    <s v="多可郡多可町"/>
    <x v="40"/>
    <x v="0"/>
    <x v="0"/>
    <x v="0"/>
    <x v="0"/>
    <n v="0"/>
    <n v="0"/>
    <n v="0"/>
    <n v="0"/>
    <n v="0"/>
    <n v="0"/>
    <x v="0"/>
    <m/>
  </r>
  <r>
    <s v="ti.28365"/>
    <x v="0"/>
    <x v="0"/>
    <x v="4"/>
    <s v="多可郡多可町"/>
    <x v="40"/>
    <x v="1"/>
    <x v="1"/>
    <x v="1"/>
    <x v="1"/>
    <n v="166"/>
    <n v="19.79"/>
    <n v="127"/>
    <n v="21.1"/>
    <n v="39"/>
    <n v="16.46"/>
    <x v="0"/>
    <m/>
  </r>
  <r>
    <s v="ti.28365"/>
    <x v="0"/>
    <x v="0"/>
    <x v="4"/>
    <s v="多可郡多可町"/>
    <x v="40"/>
    <x v="2"/>
    <x v="2"/>
    <x v="2"/>
    <x v="2"/>
    <n v="309"/>
    <n v="36.83"/>
    <n v="196"/>
    <n v="32.56"/>
    <n v="113"/>
    <n v="47.68"/>
    <x v="0"/>
    <m/>
  </r>
  <r>
    <s v="ti.28365"/>
    <x v="0"/>
    <x v="0"/>
    <x v="4"/>
    <s v="多可郡多可町"/>
    <x v="40"/>
    <x v="3"/>
    <x v="3"/>
    <x v="3"/>
    <x v="3"/>
    <n v="0"/>
    <n v="0"/>
    <n v="0"/>
    <n v="0"/>
    <n v="0"/>
    <n v="0"/>
    <x v="0"/>
    <m/>
  </r>
  <r>
    <s v="ti.28365"/>
    <x v="0"/>
    <x v="0"/>
    <x v="4"/>
    <s v="多可郡多可町"/>
    <x v="40"/>
    <x v="4"/>
    <x v="4"/>
    <x v="4"/>
    <x v="4"/>
    <n v="0"/>
    <n v="0"/>
    <n v="0"/>
    <n v="0"/>
    <n v="0"/>
    <n v="0"/>
    <x v="0"/>
    <m/>
  </r>
  <r>
    <s v="ti.28365"/>
    <x v="0"/>
    <x v="0"/>
    <x v="4"/>
    <s v="多可郡多可町"/>
    <x v="40"/>
    <x v="5"/>
    <x v="5"/>
    <x v="5"/>
    <x v="5"/>
    <n v="9"/>
    <n v="1.07"/>
    <n v="5"/>
    <n v="0.83"/>
    <n v="4"/>
    <n v="1.69"/>
    <x v="0"/>
    <m/>
  </r>
  <r>
    <s v="ti.28365"/>
    <x v="0"/>
    <x v="0"/>
    <x v="4"/>
    <s v="多可郡多可町"/>
    <x v="40"/>
    <x v="6"/>
    <x v="6"/>
    <x v="6"/>
    <x v="6"/>
    <n v="152"/>
    <n v="18.12"/>
    <n v="105"/>
    <n v="17.440000000000001"/>
    <n v="47"/>
    <n v="19.829999999999998"/>
    <x v="0"/>
    <m/>
  </r>
  <r>
    <s v="ti.28365"/>
    <x v="0"/>
    <x v="0"/>
    <x v="4"/>
    <s v="多可郡多可町"/>
    <x v="40"/>
    <x v="7"/>
    <x v="7"/>
    <x v="7"/>
    <x v="7"/>
    <n v="5"/>
    <n v="0.6"/>
    <n v="1"/>
    <n v="0.17"/>
    <n v="4"/>
    <n v="1.69"/>
    <x v="0"/>
    <m/>
  </r>
  <r>
    <s v="ti.28365"/>
    <x v="0"/>
    <x v="0"/>
    <x v="4"/>
    <s v="多可郡多可町"/>
    <x v="40"/>
    <x v="8"/>
    <x v="8"/>
    <x v="8"/>
    <x v="8"/>
    <n v="8"/>
    <n v="0.95"/>
    <n v="3"/>
    <n v="0.5"/>
    <n v="5"/>
    <n v="2.11"/>
    <x v="0"/>
    <m/>
  </r>
  <r>
    <s v="ti.28365"/>
    <x v="0"/>
    <x v="0"/>
    <x v="4"/>
    <s v="多可郡多可町"/>
    <x v="40"/>
    <x v="9"/>
    <x v="9"/>
    <x v="9"/>
    <x v="9"/>
    <n v="28"/>
    <n v="3.34"/>
    <n v="20"/>
    <n v="3.32"/>
    <n v="8"/>
    <n v="3.38"/>
    <x v="0"/>
    <m/>
  </r>
  <r>
    <s v="ti.28365"/>
    <x v="0"/>
    <x v="0"/>
    <x v="4"/>
    <s v="多可郡多可町"/>
    <x v="40"/>
    <x v="10"/>
    <x v="10"/>
    <x v="10"/>
    <x v="10"/>
    <n v="52"/>
    <n v="6.2"/>
    <n v="51"/>
    <n v="8.4700000000000006"/>
    <n v="1"/>
    <n v="0.42"/>
    <x v="0"/>
    <m/>
  </r>
  <r>
    <s v="ti.28365"/>
    <x v="0"/>
    <x v="0"/>
    <x v="4"/>
    <s v="多可郡多可町"/>
    <x v="40"/>
    <x v="11"/>
    <x v="11"/>
    <x v="11"/>
    <x v="11"/>
    <n v="62"/>
    <n v="7.39"/>
    <n v="58"/>
    <n v="9.6300000000000008"/>
    <n v="4"/>
    <n v="1.69"/>
    <x v="0"/>
    <m/>
  </r>
  <r>
    <s v="ti.28365"/>
    <x v="0"/>
    <x v="0"/>
    <x v="4"/>
    <s v="多可郡多可町"/>
    <x v="40"/>
    <x v="12"/>
    <x v="12"/>
    <x v="12"/>
    <x v="12"/>
    <n v="10"/>
    <n v="1.19"/>
    <n v="9"/>
    <n v="1.5"/>
    <n v="1"/>
    <n v="0.42"/>
    <x v="0"/>
    <m/>
  </r>
  <r>
    <s v="ti.28365"/>
    <x v="0"/>
    <x v="0"/>
    <x v="4"/>
    <s v="多可郡多可町"/>
    <x v="40"/>
    <x v="13"/>
    <x v="13"/>
    <x v="13"/>
    <x v="13"/>
    <n v="14"/>
    <n v="1.67"/>
    <n v="10"/>
    <n v="1.66"/>
    <n v="4"/>
    <n v="1.69"/>
    <x v="0"/>
    <m/>
  </r>
  <r>
    <s v="ti.28365"/>
    <x v="0"/>
    <x v="0"/>
    <x v="4"/>
    <s v="多可郡多可町"/>
    <x v="40"/>
    <x v="14"/>
    <x v="14"/>
    <x v="14"/>
    <x v="14"/>
    <n v="24"/>
    <n v="2.86"/>
    <n v="17"/>
    <n v="2.82"/>
    <n v="7"/>
    <n v="2.95"/>
    <x v="0"/>
    <m/>
  </r>
  <r>
    <s v="ti.28381"/>
    <x v="0"/>
    <x v="0"/>
    <x v="4"/>
    <s v="加古郡稲美町"/>
    <x v="41"/>
    <x v="0"/>
    <x v="0"/>
    <x v="0"/>
    <x v="0"/>
    <n v="0"/>
    <n v="0"/>
    <n v="0"/>
    <n v="0"/>
    <n v="0"/>
    <n v="0"/>
    <x v="0"/>
    <m/>
  </r>
  <r>
    <s v="ti.28381"/>
    <x v="0"/>
    <x v="0"/>
    <x v="4"/>
    <s v="加古郡稲美町"/>
    <x v="41"/>
    <x v="1"/>
    <x v="1"/>
    <x v="1"/>
    <x v="1"/>
    <n v="123"/>
    <n v="18.41"/>
    <n v="47"/>
    <n v="13.31"/>
    <n v="76"/>
    <n v="24.13"/>
    <x v="0"/>
    <m/>
  </r>
  <r>
    <s v="ti.28381"/>
    <x v="0"/>
    <x v="0"/>
    <x v="4"/>
    <s v="加古郡稲美町"/>
    <x v="41"/>
    <x v="2"/>
    <x v="2"/>
    <x v="2"/>
    <x v="2"/>
    <n v="155"/>
    <n v="23.2"/>
    <n v="54"/>
    <n v="15.3"/>
    <n v="101"/>
    <n v="32.06"/>
    <x v="0"/>
    <m/>
  </r>
  <r>
    <s v="ti.28381"/>
    <x v="0"/>
    <x v="0"/>
    <x v="4"/>
    <s v="加古郡稲美町"/>
    <x v="41"/>
    <x v="3"/>
    <x v="3"/>
    <x v="3"/>
    <x v="3"/>
    <n v="0"/>
    <n v="0"/>
    <n v="0"/>
    <n v="0"/>
    <n v="0"/>
    <n v="0"/>
    <x v="0"/>
    <m/>
  </r>
  <r>
    <s v="ti.28381"/>
    <x v="0"/>
    <x v="0"/>
    <x v="4"/>
    <s v="加古郡稲美町"/>
    <x v="41"/>
    <x v="4"/>
    <x v="4"/>
    <x v="4"/>
    <x v="4"/>
    <n v="0"/>
    <n v="0"/>
    <n v="0"/>
    <n v="0"/>
    <n v="0"/>
    <n v="0"/>
    <x v="0"/>
    <m/>
  </r>
  <r>
    <s v="ti.28381"/>
    <x v="0"/>
    <x v="0"/>
    <x v="4"/>
    <s v="加古郡稲美町"/>
    <x v="41"/>
    <x v="5"/>
    <x v="5"/>
    <x v="5"/>
    <x v="5"/>
    <n v="22"/>
    <n v="3.29"/>
    <n v="1"/>
    <n v="0.28000000000000003"/>
    <n v="21"/>
    <n v="6.67"/>
    <x v="0"/>
    <m/>
  </r>
  <r>
    <s v="ti.28381"/>
    <x v="0"/>
    <x v="0"/>
    <x v="4"/>
    <s v="加古郡稲美町"/>
    <x v="41"/>
    <x v="6"/>
    <x v="6"/>
    <x v="6"/>
    <x v="6"/>
    <n v="119"/>
    <n v="17.809999999999999"/>
    <n v="70"/>
    <n v="19.829999999999998"/>
    <n v="49"/>
    <n v="15.56"/>
    <x v="0"/>
    <m/>
  </r>
  <r>
    <s v="ti.28381"/>
    <x v="0"/>
    <x v="0"/>
    <x v="4"/>
    <s v="加古郡稲美町"/>
    <x v="41"/>
    <x v="7"/>
    <x v="7"/>
    <x v="7"/>
    <x v="7"/>
    <n v="0"/>
    <n v="0"/>
    <n v="0"/>
    <n v="0"/>
    <n v="0"/>
    <n v="0"/>
    <x v="0"/>
    <m/>
  </r>
  <r>
    <s v="ti.28381"/>
    <x v="0"/>
    <x v="0"/>
    <x v="4"/>
    <s v="加古郡稲美町"/>
    <x v="41"/>
    <x v="8"/>
    <x v="8"/>
    <x v="8"/>
    <x v="8"/>
    <n v="37"/>
    <n v="5.54"/>
    <n v="19"/>
    <n v="5.38"/>
    <n v="18"/>
    <n v="5.71"/>
    <x v="0"/>
    <m/>
  </r>
  <r>
    <s v="ti.28381"/>
    <x v="0"/>
    <x v="0"/>
    <x v="4"/>
    <s v="加古郡稲美町"/>
    <x v="41"/>
    <x v="9"/>
    <x v="9"/>
    <x v="9"/>
    <x v="9"/>
    <n v="33"/>
    <n v="4.9400000000000004"/>
    <n v="20"/>
    <n v="5.67"/>
    <n v="13"/>
    <n v="4.13"/>
    <x v="0"/>
    <m/>
  </r>
  <r>
    <s v="ti.28381"/>
    <x v="0"/>
    <x v="0"/>
    <x v="4"/>
    <s v="加古郡稲美町"/>
    <x v="41"/>
    <x v="10"/>
    <x v="10"/>
    <x v="10"/>
    <x v="10"/>
    <n v="50"/>
    <n v="7.49"/>
    <n v="45"/>
    <n v="12.75"/>
    <n v="5"/>
    <n v="1.59"/>
    <x v="0"/>
    <m/>
  </r>
  <r>
    <s v="ti.28381"/>
    <x v="0"/>
    <x v="0"/>
    <x v="4"/>
    <s v="加古郡稲美町"/>
    <x v="41"/>
    <x v="11"/>
    <x v="11"/>
    <x v="11"/>
    <x v="11"/>
    <n v="58"/>
    <n v="8.68"/>
    <n v="46"/>
    <n v="13.03"/>
    <n v="12"/>
    <n v="3.81"/>
    <x v="0"/>
    <m/>
  </r>
  <r>
    <s v="ti.28381"/>
    <x v="0"/>
    <x v="0"/>
    <x v="4"/>
    <s v="加古郡稲美町"/>
    <x v="41"/>
    <x v="12"/>
    <x v="12"/>
    <x v="12"/>
    <x v="12"/>
    <n v="25"/>
    <n v="3.74"/>
    <n v="21"/>
    <n v="5.95"/>
    <n v="4"/>
    <n v="1.27"/>
    <x v="0"/>
    <m/>
  </r>
  <r>
    <s v="ti.28381"/>
    <x v="0"/>
    <x v="0"/>
    <x v="4"/>
    <s v="加古郡稲美町"/>
    <x v="41"/>
    <x v="13"/>
    <x v="13"/>
    <x v="13"/>
    <x v="13"/>
    <n v="13"/>
    <n v="1.95"/>
    <n v="12"/>
    <n v="3.4"/>
    <n v="1"/>
    <n v="0.32"/>
    <x v="0"/>
    <m/>
  </r>
  <r>
    <s v="ti.28381"/>
    <x v="0"/>
    <x v="0"/>
    <x v="4"/>
    <s v="加古郡稲美町"/>
    <x v="41"/>
    <x v="14"/>
    <x v="14"/>
    <x v="14"/>
    <x v="14"/>
    <n v="33"/>
    <n v="4.9400000000000004"/>
    <n v="18"/>
    <n v="5.0999999999999996"/>
    <n v="15"/>
    <n v="4.76"/>
    <x v="0"/>
    <m/>
  </r>
  <r>
    <s v="ti.28382"/>
    <x v="0"/>
    <x v="0"/>
    <x v="4"/>
    <s v="加古郡播磨町"/>
    <x v="42"/>
    <x v="0"/>
    <x v="0"/>
    <x v="0"/>
    <x v="0"/>
    <n v="0"/>
    <n v="0"/>
    <n v="0"/>
    <n v="0"/>
    <n v="0"/>
    <n v="0"/>
    <x v="0"/>
    <n v="0"/>
  </r>
  <r>
    <s v="ti.28382"/>
    <x v="0"/>
    <x v="0"/>
    <x v="4"/>
    <s v="加古郡播磨町"/>
    <x v="42"/>
    <x v="1"/>
    <x v="1"/>
    <x v="1"/>
    <x v="1"/>
    <n v="84"/>
    <n v="13.33"/>
    <n v="28"/>
    <n v="7.07"/>
    <n v="56"/>
    <n v="24.56"/>
    <x v="0"/>
    <n v="0"/>
  </r>
  <r>
    <s v="ti.28382"/>
    <x v="0"/>
    <x v="0"/>
    <x v="4"/>
    <s v="加古郡播磨町"/>
    <x v="42"/>
    <x v="2"/>
    <x v="2"/>
    <x v="2"/>
    <x v="2"/>
    <n v="49"/>
    <n v="7.78"/>
    <n v="15"/>
    <n v="3.79"/>
    <n v="34"/>
    <n v="14.91"/>
    <x v="0"/>
    <n v="0"/>
  </r>
  <r>
    <s v="ti.28382"/>
    <x v="0"/>
    <x v="0"/>
    <x v="4"/>
    <s v="加古郡播磨町"/>
    <x v="42"/>
    <x v="3"/>
    <x v="3"/>
    <x v="3"/>
    <x v="3"/>
    <n v="0"/>
    <n v="0"/>
    <n v="0"/>
    <n v="0"/>
    <n v="0"/>
    <n v="0"/>
    <x v="0"/>
    <n v="0"/>
  </r>
  <r>
    <s v="ti.28382"/>
    <x v="0"/>
    <x v="0"/>
    <x v="4"/>
    <s v="加古郡播磨町"/>
    <x v="42"/>
    <x v="4"/>
    <x v="4"/>
    <x v="4"/>
    <x v="4"/>
    <n v="1"/>
    <n v="0.16"/>
    <n v="0"/>
    <n v="0"/>
    <n v="1"/>
    <n v="0.44"/>
    <x v="0"/>
    <n v="0"/>
  </r>
  <r>
    <s v="ti.28382"/>
    <x v="0"/>
    <x v="0"/>
    <x v="4"/>
    <s v="加古郡播磨町"/>
    <x v="42"/>
    <x v="5"/>
    <x v="5"/>
    <x v="5"/>
    <x v="5"/>
    <n v="11"/>
    <n v="1.75"/>
    <n v="2"/>
    <n v="0.51"/>
    <n v="9"/>
    <n v="3.95"/>
    <x v="0"/>
    <n v="0"/>
  </r>
  <r>
    <s v="ti.28382"/>
    <x v="0"/>
    <x v="0"/>
    <x v="4"/>
    <s v="加古郡播磨町"/>
    <x v="42"/>
    <x v="6"/>
    <x v="6"/>
    <x v="6"/>
    <x v="6"/>
    <n v="130"/>
    <n v="20.63"/>
    <n v="78"/>
    <n v="19.7"/>
    <n v="52"/>
    <n v="22.81"/>
    <x v="0"/>
    <n v="0"/>
  </r>
  <r>
    <s v="ti.28382"/>
    <x v="0"/>
    <x v="0"/>
    <x v="4"/>
    <s v="加古郡播磨町"/>
    <x v="42"/>
    <x v="7"/>
    <x v="7"/>
    <x v="7"/>
    <x v="7"/>
    <n v="5"/>
    <n v="0.79"/>
    <n v="2"/>
    <n v="0.51"/>
    <n v="3"/>
    <n v="1.32"/>
    <x v="0"/>
    <n v="0"/>
  </r>
  <r>
    <s v="ti.28382"/>
    <x v="0"/>
    <x v="0"/>
    <x v="4"/>
    <s v="加古郡播磨町"/>
    <x v="42"/>
    <x v="8"/>
    <x v="8"/>
    <x v="8"/>
    <x v="8"/>
    <n v="52"/>
    <n v="8.25"/>
    <n v="25"/>
    <n v="6.31"/>
    <n v="27"/>
    <n v="11.84"/>
    <x v="0"/>
    <n v="0"/>
  </r>
  <r>
    <s v="ti.28382"/>
    <x v="0"/>
    <x v="0"/>
    <x v="4"/>
    <s v="加古郡播磨町"/>
    <x v="42"/>
    <x v="9"/>
    <x v="9"/>
    <x v="9"/>
    <x v="9"/>
    <n v="23"/>
    <n v="3.65"/>
    <n v="18"/>
    <n v="4.55"/>
    <n v="5"/>
    <n v="2.19"/>
    <x v="0"/>
    <n v="0"/>
  </r>
  <r>
    <s v="ti.28382"/>
    <x v="0"/>
    <x v="0"/>
    <x v="4"/>
    <s v="加古郡播磨町"/>
    <x v="42"/>
    <x v="10"/>
    <x v="10"/>
    <x v="10"/>
    <x v="10"/>
    <n v="92"/>
    <n v="14.6"/>
    <n v="84"/>
    <n v="21.21"/>
    <n v="7"/>
    <n v="3.07"/>
    <x v="6"/>
    <n v="16.670000000000002"/>
  </r>
  <r>
    <s v="ti.28382"/>
    <x v="0"/>
    <x v="0"/>
    <x v="4"/>
    <s v="加古郡播磨町"/>
    <x v="42"/>
    <x v="11"/>
    <x v="11"/>
    <x v="11"/>
    <x v="11"/>
    <n v="106"/>
    <n v="16.829999999999998"/>
    <n v="92"/>
    <n v="23.23"/>
    <n v="12"/>
    <n v="5.26"/>
    <x v="1"/>
    <n v="33.33"/>
  </r>
  <r>
    <s v="ti.28382"/>
    <x v="0"/>
    <x v="0"/>
    <x v="4"/>
    <s v="加古郡播磨町"/>
    <x v="42"/>
    <x v="12"/>
    <x v="12"/>
    <x v="12"/>
    <x v="12"/>
    <n v="37"/>
    <n v="5.87"/>
    <n v="31"/>
    <n v="7.83"/>
    <n v="6"/>
    <n v="2.63"/>
    <x v="0"/>
    <n v="0"/>
  </r>
  <r>
    <s v="ti.28382"/>
    <x v="0"/>
    <x v="0"/>
    <x v="4"/>
    <s v="加古郡播磨町"/>
    <x v="42"/>
    <x v="13"/>
    <x v="13"/>
    <x v="13"/>
    <x v="13"/>
    <n v="24"/>
    <n v="3.81"/>
    <n v="15"/>
    <n v="3.79"/>
    <n v="9"/>
    <n v="3.95"/>
    <x v="0"/>
    <n v="0"/>
  </r>
  <r>
    <s v="ti.28382"/>
    <x v="0"/>
    <x v="0"/>
    <x v="4"/>
    <s v="加古郡播磨町"/>
    <x v="42"/>
    <x v="14"/>
    <x v="14"/>
    <x v="14"/>
    <x v="14"/>
    <n v="16"/>
    <n v="2.54"/>
    <n v="6"/>
    <n v="1.52"/>
    <n v="7"/>
    <n v="3.07"/>
    <x v="3"/>
    <n v="50"/>
  </r>
  <r>
    <s v="ti.28442"/>
    <x v="0"/>
    <x v="0"/>
    <x v="4"/>
    <s v="神崎郡市川町"/>
    <x v="43"/>
    <x v="0"/>
    <x v="0"/>
    <x v="0"/>
    <x v="0"/>
    <n v="0"/>
    <n v="0"/>
    <n v="0"/>
    <n v="0"/>
    <n v="0"/>
    <n v="0"/>
    <x v="0"/>
    <n v="0"/>
  </r>
  <r>
    <s v="ti.28442"/>
    <x v="0"/>
    <x v="0"/>
    <x v="4"/>
    <s v="神崎郡市川町"/>
    <x v="43"/>
    <x v="1"/>
    <x v="1"/>
    <x v="1"/>
    <x v="1"/>
    <n v="83"/>
    <n v="25.86"/>
    <n v="60"/>
    <n v="25.64"/>
    <n v="23"/>
    <n v="26.74"/>
    <x v="0"/>
    <n v="0"/>
  </r>
  <r>
    <s v="ti.28442"/>
    <x v="0"/>
    <x v="0"/>
    <x v="4"/>
    <s v="神崎郡市川町"/>
    <x v="43"/>
    <x v="2"/>
    <x v="2"/>
    <x v="2"/>
    <x v="2"/>
    <n v="83"/>
    <n v="25.86"/>
    <n v="47"/>
    <n v="20.09"/>
    <n v="36"/>
    <n v="41.86"/>
    <x v="0"/>
    <n v="0"/>
  </r>
  <r>
    <s v="ti.28442"/>
    <x v="0"/>
    <x v="0"/>
    <x v="4"/>
    <s v="神崎郡市川町"/>
    <x v="43"/>
    <x v="3"/>
    <x v="3"/>
    <x v="3"/>
    <x v="3"/>
    <n v="0"/>
    <n v="0"/>
    <n v="0"/>
    <n v="0"/>
    <n v="0"/>
    <n v="0"/>
    <x v="0"/>
    <n v="0"/>
  </r>
  <r>
    <s v="ti.28442"/>
    <x v="0"/>
    <x v="0"/>
    <x v="4"/>
    <s v="神崎郡市川町"/>
    <x v="43"/>
    <x v="4"/>
    <x v="4"/>
    <x v="4"/>
    <x v="4"/>
    <n v="1"/>
    <n v="0.31"/>
    <n v="0"/>
    <n v="0"/>
    <n v="1"/>
    <n v="1.1599999999999999"/>
    <x v="0"/>
    <n v="0"/>
  </r>
  <r>
    <s v="ti.28442"/>
    <x v="0"/>
    <x v="0"/>
    <x v="4"/>
    <s v="神崎郡市川町"/>
    <x v="43"/>
    <x v="5"/>
    <x v="5"/>
    <x v="5"/>
    <x v="5"/>
    <n v="2"/>
    <n v="0.62"/>
    <n v="1"/>
    <n v="0.43"/>
    <n v="1"/>
    <n v="1.1599999999999999"/>
    <x v="0"/>
    <n v="0"/>
  </r>
  <r>
    <s v="ti.28442"/>
    <x v="0"/>
    <x v="0"/>
    <x v="4"/>
    <s v="神崎郡市川町"/>
    <x v="43"/>
    <x v="6"/>
    <x v="6"/>
    <x v="6"/>
    <x v="6"/>
    <n v="60"/>
    <n v="18.690000000000001"/>
    <n v="47"/>
    <n v="20.09"/>
    <n v="13"/>
    <n v="15.12"/>
    <x v="0"/>
    <n v="0"/>
  </r>
  <r>
    <s v="ti.28442"/>
    <x v="0"/>
    <x v="0"/>
    <x v="4"/>
    <s v="神崎郡市川町"/>
    <x v="43"/>
    <x v="7"/>
    <x v="7"/>
    <x v="7"/>
    <x v="7"/>
    <n v="1"/>
    <n v="0.31"/>
    <n v="1"/>
    <n v="0.43"/>
    <n v="0"/>
    <n v="0"/>
    <x v="0"/>
    <n v="0"/>
  </r>
  <r>
    <s v="ti.28442"/>
    <x v="0"/>
    <x v="0"/>
    <x v="4"/>
    <s v="神崎郡市川町"/>
    <x v="43"/>
    <x v="8"/>
    <x v="8"/>
    <x v="8"/>
    <x v="8"/>
    <n v="6"/>
    <n v="1.87"/>
    <n v="2"/>
    <n v="0.85"/>
    <n v="3"/>
    <n v="3.49"/>
    <x v="6"/>
    <n v="100"/>
  </r>
  <r>
    <s v="ti.28442"/>
    <x v="0"/>
    <x v="0"/>
    <x v="4"/>
    <s v="神崎郡市川町"/>
    <x v="43"/>
    <x v="9"/>
    <x v="9"/>
    <x v="9"/>
    <x v="9"/>
    <n v="11"/>
    <n v="3.43"/>
    <n v="8"/>
    <n v="3.42"/>
    <n v="3"/>
    <n v="3.49"/>
    <x v="0"/>
    <n v="0"/>
  </r>
  <r>
    <s v="ti.28442"/>
    <x v="0"/>
    <x v="0"/>
    <x v="4"/>
    <s v="神崎郡市川町"/>
    <x v="43"/>
    <x v="10"/>
    <x v="10"/>
    <x v="10"/>
    <x v="10"/>
    <n v="17"/>
    <n v="5.3"/>
    <n v="16"/>
    <n v="6.84"/>
    <n v="1"/>
    <n v="1.1599999999999999"/>
    <x v="0"/>
    <n v="0"/>
  </r>
  <r>
    <s v="ti.28442"/>
    <x v="0"/>
    <x v="0"/>
    <x v="4"/>
    <s v="神崎郡市川町"/>
    <x v="43"/>
    <x v="11"/>
    <x v="11"/>
    <x v="11"/>
    <x v="11"/>
    <n v="32"/>
    <n v="9.9700000000000006"/>
    <n v="28"/>
    <n v="11.97"/>
    <n v="4"/>
    <n v="4.6500000000000004"/>
    <x v="0"/>
    <n v="0"/>
  </r>
  <r>
    <s v="ti.28442"/>
    <x v="0"/>
    <x v="0"/>
    <x v="4"/>
    <s v="神崎郡市川町"/>
    <x v="43"/>
    <x v="12"/>
    <x v="12"/>
    <x v="12"/>
    <x v="12"/>
    <n v="9"/>
    <n v="2.8"/>
    <n v="9"/>
    <n v="3.85"/>
    <n v="0"/>
    <n v="0"/>
    <x v="0"/>
    <n v="0"/>
  </r>
  <r>
    <s v="ti.28442"/>
    <x v="0"/>
    <x v="0"/>
    <x v="4"/>
    <s v="神崎郡市川町"/>
    <x v="43"/>
    <x v="13"/>
    <x v="13"/>
    <x v="13"/>
    <x v="13"/>
    <n v="6"/>
    <n v="1.87"/>
    <n v="6"/>
    <n v="2.56"/>
    <n v="0"/>
    <n v="0"/>
    <x v="0"/>
    <n v="0"/>
  </r>
  <r>
    <s v="ti.28442"/>
    <x v="0"/>
    <x v="0"/>
    <x v="4"/>
    <s v="神崎郡市川町"/>
    <x v="43"/>
    <x v="14"/>
    <x v="14"/>
    <x v="14"/>
    <x v="14"/>
    <n v="10"/>
    <n v="3.12"/>
    <n v="9"/>
    <n v="3.85"/>
    <n v="1"/>
    <n v="1.1599999999999999"/>
    <x v="0"/>
    <n v="0"/>
  </r>
  <r>
    <s v="ti.28443"/>
    <x v="0"/>
    <x v="0"/>
    <x v="4"/>
    <s v="神崎郡福崎町"/>
    <x v="44"/>
    <x v="0"/>
    <x v="0"/>
    <x v="0"/>
    <x v="0"/>
    <n v="0"/>
    <n v="0"/>
    <n v="0"/>
    <n v="0"/>
    <n v="0"/>
    <n v="0"/>
    <x v="0"/>
    <m/>
  </r>
  <r>
    <s v="ti.28443"/>
    <x v="0"/>
    <x v="0"/>
    <x v="4"/>
    <s v="神崎郡福崎町"/>
    <x v="44"/>
    <x v="1"/>
    <x v="1"/>
    <x v="1"/>
    <x v="1"/>
    <n v="83"/>
    <n v="14.95"/>
    <n v="36"/>
    <n v="10.34"/>
    <n v="47"/>
    <n v="22.71"/>
    <x v="0"/>
    <m/>
  </r>
  <r>
    <s v="ti.28443"/>
    <x v="0"/>
    <x v="0"/>
    <x v="4"/>
    <s v="神崎郡福崎町"/>
    <x v="44"/>
    <x v="2"/>
    <x v="2"/>
    <x v="2"/>
    <x v="2"/>
    <n v="72"/>
    <n v="12.97"/>
    <n v="40"/>
    <n v="11.49"/>
    <n v="32"/>
    <n v="15.46"/>
    <x v="0"/>
    <m/>
  </r>
  <r>
    <s v="ti.28443"/>
    <x v="0"/>
    <x v="0"/>
    <x v="4"/>
    <s v="神崎郡福崎町"/>
    <x v="44"/>
    <x v="3"/>
    <x v="3"/>
    <x v="3"/>
    <x v="3"/>
    <n v="0"/>
    <n v="0"/>
    <n v="0"/>
    <n v="0"/>
    <n v="0"/>
    <n v="0"/>
    <x v="0"/>
    <m/>
  </r>
  <r>
    <s v="ti.28443"/>
    <x v="0"/>
    <x v="0"/>
    <x v="4"/>
    <s v="神崎郡福崎町"/>
    <x v="44"/>
    <x v="4"/>
    <x v="4"/>
    <x v="4"/>
    <x v="4"/>
    <n v="1"/>
    <n v="0.18"/>
    <n v="0"/>
    <n v="0"/>
    <n v="1"/>
    <n v="0.48"/>
    <x v="0"/>
    <m/>
  </r>
  <r>
    <s v="ti.28443"/>
    <x v="0"/>
    <x v="0"/>
    <x v="4"/>
    <s v="神崎郡福崎町"/>
    <x v="44"/>
    <x v="5"/>
    <x v="5"/>
    <x v="5"/>
    <x v="5"/>
    <n v="6"/>
    <n v="1.08"/>
    <n v="0"/>
    <n v="0"/>
    <n v="6"/>
    <n v="2.9"/>
    <x v="0"/>
    <m/>
  </r>
  <r>
    <s v="ti.28443"/>
    <x v="0"/>
    <x v="0"/>
    <x v="4"/>
    <s v="神崎郡福崎町"/>
    <x v="44"/>
    <x v="6"/>
    <x v="6"/>
    <x v="6"/>
    <x v="6"/>
    <n v="143"/>
    <n v="25.77"/>
    <n v="87"/>
    <n v="25"/>
    <n v="56"/>
    <n v="27.05"/>
    <x v="0"/>
    <m/>
  </r>
  <r>
    <s v="ti.28443"/>
    <x v="0"/>
    <x v="0"/>
    <x v="4"/>
    <s v="神崎郡福崎町"/>
    <x v="44"/>
    <x v="7"/>
    <x v="7"/>
    <x v="7"/>
    <x v="7"/>
    <n v="5"/>
    <n v="0.9"/>
    <n v="2"/>
    <n v="0.56999999999999995"/>
    <n v="3"/>
    <n v="1.45"/>
    <x v="0"/>
    <m/>
  </r>
  <r>
    <s v="ti.28443"/>
    <x v="0"/>
    <x v="0"/>
    <x v="4"/>
    <s v="神崎郡福崎町"/>
    <x v="44"/>
    <x v="8"/>
    <x v="8"/>
    <x v="8"/>
    <x v="8"/>
    <n v="47"/>
    <n v="8.4700000000000006"/>
    <n v="30"/>
    <n v="8.6199999999999992"/>
    <n v="17"/>
    <n v="8.2100000000000009"/>
    <x v="0"/>
    <m/>
  </r>
  <r>
    <s v="ti.28443"/>
    <x v="0"/>
    <x v="0"/>
    <x v="4"/>
    <s v="神崎郡福崎町"/>
    <x v="44"/>
    <x v="9"/>
    <x v="9"/>
    <x v="9"/>
    <x v="9"/>
    <n v="20"/>
    <n v="3.6"/>
    <n v="11"/>
    <n v="3.16"/>
    <n v="9"/>
    <n v="4.3499999999999996"/>
    <x v="0"/>
    <m/>
  </r>
  <r>
    <s v="ti.28443"/>
    <x v="0"/>
    <x v="0"/>
    <x v="4"/>
    <s v="神崎郡福崎町"/>
    <x v="44"/>
    <x v="10"/>
    <x v="10"/>
    <x v="10"/>
    <x v="10"/>
    <n v="49"/>
    <n v="8.83"/>
    <n v="41"/>
    <n v="11.78"/>
    <n v="8"/>
    <n v="3.86"/>
    <x v="0"/>
    <m/>
  </r>
  <r>
    <s v="ti.28443"/>
    <x v="0"/>
    <x v="0"/>
    <x v="4"/>
    <s v="神崎郡福崎町"/>
    <x v="44"/>
    <x v="11"/>
    <x v="11"/>
    <x v="11"/>
    <x v="11"/>
    <n v="65"/>
    <n v="11.71"/>
    <n v="55"/>
    <n v="15.8"/>
    <n v="10"/>
    <n v="4.83"/>
    <x v="0"/>
    <m/>
  </r>
  <r>
    <s v="ti.28443"/>
    <x v="0"/>
    <x v="0"/>
    <x v="4"/>
    <s v="神崎郡福崎町"/>
    <x v="44"/>
    <x v="12"/>
    <x v="12"/>
    <x v="12"/>
    <x v="12"/>
    <n v="29"/>
    <n v="5.23"/>
    <n v="23"/>
    <n v="6.61"/>
    <n v="6"/>
    <n v="2.9"/>
    <x v="0"/>
    <m/>
  </r>
  <r>
    <s v="ti.28443"/>
    <x v="0"/>
    <x v="0"/>
    <x v="4"/>
    <s v="神崎郡福崎町"/>
    <x v="44"/>
    <x v="13"/>
    <x v="13"/>
    <x v="13"/>
    <x v="13"/>
    <n v="15"/>
    <n v="2.7"/>
    <n v="12"/>
    <n v="3.45"/>
    <n v="3"/>
    <n v="1.45"/>
    <x v="0"/>
    <m/>
  </r>
  <r>
    <s v="ti.28443"/>
    <x v="0"/>
    <x v="0"/>
    <x v="4"/>
    <s v="神崎郡福崎町"/>
    <x v="44"/>
    <x v="14"/>
    <x v="14"/>
    <x v="14"/>
    <x v="14"/>
    <n v="20"/>
    <n v="3.6"/>
    <n v="11"/>
    <n v="3.16"/>
    <n v="9"/>
    <n v="4.3499999999999996"/>
    <x v="0"/>
    <m/>
  </r>
  <r>
    <s v="ti.28446"/>
    <x v="0"/>
    <x v="0"/>
    <x v="4"/>
    <s v="神崎郡神河町"/>
    <x v="45"/>
    <x v="0"/>
    <x v="0"/>
    <x v="0"/>
    <x v="0"/>
    <n v="0"/>
    <n v="0"/>
    <n v="0"/>
    <n v="0"/>
    <n v="0"/>
    <n v="0"/>
    <x v="0"/>
    <n v="0"/>
  </r>
  <r>
    <s v="ti.28446"/>
    <x v="0"/>
    <x v="0"/>
    <x v="4"/>
    <s v="神崎郡神河町"/>
    <x v="45"/>
    <x v="1"/>
    <x v="1"/>
    <x v="1"/>
    <x v="1"/>
    <n v="92"/>
    <n v="23.12"/>
    <n v="67"/>
    <n v="22.33"/>
    <n v="25"/>
    <n v="26.32"/>
    <x v="0"/>
    <n v="0"/>
  </r>
  <r>
    <s v="ti.28446"/>
    <x v="0"/>
    <x v="0"/>
    <x v="4"/>
    <s v="神崎郡神河町"/>
    <x v="45"/>
    <x v="2"/>
    <x v="2"/>
    <x v="2"/>
    <x v="2"/>
    <n v="31"/>
    <n v="7.79"/>
    <n v="15"/>
    <n v="5"/>
    <n v="16"/>
    <n v="16.84"/>
    <x v="0"/>
    <n v="0"/>
  </r>
  <r>
    <s v="ti.28446"/>
    <x v="0"/>
    <x v="0"/>
    <x v="4"/>
    <s v="神崎郡神河町"/>
    <x v="45"/>
    <x v="3"/>
    <x v="3"/>
    <x v="3"/>
    <x v="3"/>
    <n v="0"/>
    <n v="0"/>
    <n v="0"/>
    <n v="0"/>
    <n v="0"/>
    <n v="0"/>
    <x v="0"/>
    <n v="0"/>
  </r>
  <r>
    <s v="ti.28446"/>
    <x v="0"/>
    <x v="0"/>
    <x v="4"/>
    <s v="神崎郡神河町"/>
    <x v="45"/>
    <x v="4"/>
    <x v="4"/>
    <x v="4"/>
    <x v="4"/>
    <n v="0"/>
    <n v="0"/>
    <n v="0"/>
    <n v="0"/>
    <n v="0"/>
    <n v="0"/>
    <x v="0"/>
    <n v="0"/>
  </r>
  <r>
    <s v="ti.28446"/>
    <x v="0"/>
    <x v="0"/>
    <x v="4"/>
    <s v="神崎郡神河町"/>
    <x v="45"/>
    <x v="5"/>
    <x v="5"/>
    <x v="5"/>
    <x v="5"/>
    <n v="8"/>
    <n v="2.0099999999999998"/>
    <n v="2"/>
    <n v="0.67"/>
    <n v="6"/>
    <n v="6.32"/>
    <x v="0"/>
    <n v="0"/>
  </r>
  <r>
    <s v="ti.28446"/>
    <x v="0"/>
    <x v="0"/>
    <x v="4"/>
    <s v="神崎郡神河町"/>
    <x v="45"/>
    <x v="6"/>
    <x v="6"/>
    <x v="6"/>
    <x v="6"/>
    <n v="96"/>
    <n v="24.12"/>
    <n v="68"/>
    <n v="22.67"/>
    <n v="27"/>
    <n v="28.42"/>
    <x v="6"/>
    <n v="33.33"/>
  </r>
  <r>
    <s v="ti.28446"/>
    <x v="0"/>
    <x v="0"/>
    <x v="4"/>
    <s v="神崎郡神河町"/>
    <x v="45"/>
    <x v="7"/>
    <x v="7"/>
    <x v="7"/>
    <x v="7"/>
    <n v="0"/>
    <n v="0"/>
    <n v="0"/>
    <n v="0"/>
    <n v="0"/>
    <n v="0"/>
    <x v="0"/>
    <n v="0"/>
  </r>
  <r>
    <s v="ti.28446"/>
    <x v="0"/>
    <x v="0"/>
    <x v="4"/>
    <s v="神崎郡神河町"/>
    <x v="45"/>
    <x v="8"/>
    <x v="8"/>
    <x v="8"/>
    <x v="8"/>
    <n v="11"/>
    <n v="2.76"/>
    <n v="8"/>
    <n v="2.67"/>
    <n v="3"/>
    <n v="3.16"/>
    <x v="0"/>
    <n v="0"/>
  </r>
  <r>
    <s v="ti.28446"/>
    <x v="0"/>
    <x v="0"/>
    <x v="4"/>
    <s v="神崎郡神河町"/>
    <x v="45"/>
    <x v="9"/>
    <x v="9"/>
    <x v="9"/>
    <x v="9"/>
    <n v="13"/>
    <n v="3.27"/>
    <n v="9"/>
    <n v="3"/>
    <n v="4"/>
    <n v="4.21"/>
    <x v="0"/>
    <n v="0"/>
  </r>
  <r>
    <s v="ti.28446"/>
    <x v="0"/>
    <x v="0"/>
    <x v="4"/>
    <s v="神崎郡神河町"/>
    <x v="45"/>
    <x v="10"/>
    <x v="10"/>
    <x v="10"/>
    <x v="10"/>
    <n v="51"/>
    <n v="12.81"/>
    <n v="48"/>
    <n v="16"/>
    <n v="2"/>
    <n v="2.11"/>
    <x v="6"/>
    <n v="33.33"/>
  </r>
  <r>
    <s v="ti.28446"/>
    <x v="0"/>
    <x v="0"/>
    <x v="4"/>
    <s v="神崎郡神河町"/>
    <x v="45"/>
    <x v="11"/>
    <x v="11"/>
    <x v="11"/>
    <x v="11"/>
    <n v="41"/>
    <n v="10.3"/>
    <n v="37"/>
    <n v="12.33"/>
    <n v="3"/>
    <n v="3.16"/>
    <x v="6"/>
    <n v="33.33"/>
  </r>
  <r>
    <s v="ti.28446"/>
    <x v="0"/>
    <x v="0"/>
    <x v="4"/>
    <s v="神崎郡神河町"/>
    <x v="45"/>
    <x v="12"/>
    <x v="12"/>
    <x v="12"/>
    <x v="12"/>
    <n v="21"/>
    <n v="5.28"/>
    <n v="20"/>
    <n v="6.67"/>
    <n v="1"/>
    <n v="1.05"/>
    <x v="0"/>
    <n v="0"/>
  </r>
  <r>
    <s v="ti.28446"/>
    <x v="0"/>
    <x v="0"/>
    <x v="4"/>
    <s v="神崎郡神河町"/>
    <x v="45"/>
    <x v="13"/>
    <x v="13"/>
    <x v="13"/>
    <x v="13"/>
    <n v="8"/>
    <n v="2.0099999999999998"/>
    <n v="7"/>
    <n v="2.33"/>
    <n v="1"/>
    <n v="1.05"/>
    <x v="0"/>
    <n v="0"/>
  </r>
  <r>
    <s v="ti.28446"/>
    <x v="0"/>
    <x v="0"/>
    <x v="4"/>
    <s v="神崎郡神河町"/>
    <x v="45"/>
    <x v="14"/>
    <x v="14"/>
    <x v="14"/>
    <x v="14"/>
    <n v="26"/>
    <n v="6.53"/>
    <n v="19"/>
    <n v="6.33"/>
    <n v="7"/>
    <n v="7.37"/>
    <x v="0"/>
    <n v="0"/>
  </r>
  <r>
    <s v="ti.28464"/>
    <x v="0"/>
    <x v="0"/>
    <x v="4"/>
    <s v="揖保郡太子町"/>
    <x v="46"/>
    <x v="0"/>
    <x v="0"/>
    <x v="0"/>
    <x v="0"/>
    <n v="0"/>
    <n v="0"/>
    <n v="0"/>
    <n v="0"/>
    <n v="0"/>
    <n v="0"/>
    <x v="0"/>
    <n v="0"/>
  </r>
  <r>
    <s v="ti.28464"/>
    <x v="0"/>
    <x v="0"/>
    <x v="4"/>
    <s v="揖保郡太子町"/>
    <x v="46"/>
    <x v="1"/>
    <x v="1"/>
    <x v="1"/>
    <x v="1"/>
    <n v="150"/>
    <n v="19.63"/>
    <n v="74"/>
    <n v="14.2"/>
    <n v="76"/>
    <n v="31.67"/>
    <x v="0"/>
    <n v="0"/>
  </r>
  <r>
    <s v="ti.28464"/>
    <x v="0"/>
    <x v="0"/>
    <x v="4"/>
    <s v="揖保郡太子町"/>
    <x v="46"/>
    <x v="2"/>
    <x v="2"/>
    <x v="2"/>
    <x v="2"/>
    <n v="52"/>
    <n v="6.81"/>
    <n v="24"/>
    <n v="4.6100000000000003"/>
    <n v="27"/>
    <n v="11.25"/>
    <x v="6"/>
    <n v="33.33"/>
  </r>
  <r>
    <s v="ti.28464"/>
    <x v="0"/>
    <x v="0"/>
    <x v="4"/>
    <s v="揖保郡太子町"/>
    <x v="46"/>
    <x v="3"/>
    <x v="3"/>
    <x v="3"/>
    <x v="3"/>
    <n v="0"/>
    <n v="0"/>
    <n v="0"/>
    <n v="0"/>
    <n v="0"/>
    <n v="0"/>
    <x v="0"/>
    <n v="0"/>
  </r>
  <r>
    <s v="ti.28464"/>
    <x v="0"/>
    <x v="0"/>
    <x v="4"/>
    <s v="揖保郡太子町"/>
    <x v="46"/>
    <x v="4"/>
    <x v="4"/>
    <x v="4"/>
    <x v="4"/>
    <n v="3"/>
    <n v="0.39"/>
    <n v="1"/>
    <n v="0.19"/>
    <n v="2"/>
    <n v="0.83"/>
    <x v="0"/>
    <n v="0"/>
  </r>
  <r>
    <s v="ti.28464"/>
    <x v="0"/>
    <x v="0"/>
    <x v="4"/>
    <s v="揖保郡太子町"/>
    <x v="46"/>
    <x v="5"/>
    <x v="5"/>
    <x v="5"/>
    <x v="5"/>
    <n v="7"/>
    <n v="0.92"/>
    <n v="3"/>
    <n v="0.57999999999999996"/>
    <n v="4"/>
    <n v="1.67"/>
    <x v="0"/>
    <n v="0"/>
  </r>
  <r>
    <s v="ti.28464"/>
    <x v="0"/>
    <x v="0"/>
    <x v="4"/>
    <s v="揖保郡太子町"/>
    <x v="46"/>
    <x v="6"/>
    <x v="6"/>
    <x v="6"/>
    <x v="6"/>
    <n v="174"/>
    <n v="22.77"/>
    <n v="105"/>
    <n v="20.149999999999999"/>
    <n v="67"/>
    <n v="27.92"/>
    <x v="1"/>
    <n v="66.67"/>
  </r>
  <r>
    <s v="ti.28464"/>
    <x v="0"/>
    <x v="0"/>
    <x v="4"/>
    <s v="揖保郡太子町"/>
    <x v="46"/>
    <x v="7"/>
    <x v="7"/>
    <x v="7"/>
    <x v="7"/>
    <n v="4"/>
    <n v="0.52"/>
    <n v="3"/>
    <n v="0.57999999999999996"/>
    <n v="1"/>
    <n v="0.42"/>
    <x v="0"/>
    <n v="0"/>
  </r>
  <r>
    <s v="ti.28464"/>
    <x v="0"/>
    <x v="0"/>
    <x v="4"/>
    <s v="揖保郡太子町"/>
    <x v="46"/>
    <x v="8"/>
    <x v="8"/>
    <x v="8"/>
    <x v="8"/>
    <n v="67"/>
    <n v="8.77"/>
    <n v="44"/>
    <n v="8.4499999999999993"/>
    <n v="23"/>
    <n v="9.58"/>
    <x v="0"/>
    <n v="0"/>
  </r>
  <r>
    <s v="ti.28464"/>
    <x v="0"/>
    <x v="0"/>
    <x v="4"/>
    <s v="揖保郡太子町"/>
    <x v="46"/>
    <x v="9"/>
    <x v="9"/>
    <x v="9"/>
    <x v="9"/>
    <n v="31"/>
    <n v="4.0599999999999996"/>
    <n v="25"/>
    <n v="4.8"/>
    <n v="6"/>
    <n v="2.5"/>
    <x v="0"/>
    <n v="0"/>
  </r>
  <r>
    <s v="ti.28464"/>
    <x v="0"/>
    <x v="0"/>
    <x v="4"/>
    <s v="揖保郡太子町"/>
    <x v="46"/>
    <x v="10"/>
    <x v="10"/>
    <x v="10"/>
    <x v="10"/>
    <n v="76"/>
    <n v="9.9499999999999993"/>
    <n v="70"/>
    <n v="13.44"/>
    <n v="6"/>
    <n v="2.5"/>
    <x v="0"/>
    <n v="0"/>
  </r>
  <r>
    <s v="ti.28464"/>
    <x v="0"/>
    <x v="0"/>
    <x v="4"/>
    <s v="揖保郡太子町"/>
    <x v="46"/>
    <x v="11"/>
    <x v="11"/>
    <x v="11"/>
    <x v="11"/>
    <n v="94"/>
    <n v="12.3"/>
    <n v="82"/>
    <n v="15.74"/>
    <n v="12"/>
    <n v="5"/>
    <x v="0"/>
    <n v="0"/>
  </r>
  <r>
    <s v="ti.28464"/>
    <x v="0"/>
    <x v="0"/>
    <x v="4"/>
    <s v="揖保郡太子町"/>
    <x v="46"/>
    <x v="12"/>
    <x v="12"/>
    <x v="12"/>
    <x v="12"/>
    <n v="63"/>
    <n v="8.25"/>
    <n v="59"/>
    <n v="11.32"/>
    <n v="4"/>
    <n v="1.67"/>
    <x v="0"/>
    <n v="0"/>
  </r>
  <r>
    <s v="ti.28464"/>
    <x v="0"/>
    <x v="0"/>
    <x v="4"/>
    <s v="揖保郡太子町"/>
    <x v="46"/>
    <x v="13"/>
    <x v="13"/>
    <x v="13"/>
    <x v="13"/>
    <n v="25"/>
    <n v="3.27"/>
    <n v="20"/>
    <n v="3.84"/>
    <n v="5"/>
    <n v="2.08"/>
    <x v="0"/>
    <n v="0"/>
  </r>
  <r>
    <s v="ti.28464"/>
    <x v="0"/>
    <x v="0"/>
    <x v="4"/>
    <s v="揖保郡太子町"/>
    <x v="46"/>
    <x v="14"/>
    <x v="14"/>
    <x v="14"/>
    <x v="14"/>
    <n v="18"/>
    <n v="2.36"/>
    <n v="11"/>
    <n v="2.11"/>
    <n v="7"/>
    <n v="2.92"/>
    <x v="0"/>
    <n v="0"/>
  </r>
  <r>
    <s v="ti.28481"/>
    <x v="0"/>
    <x v="0"/>
    <x v="4"/>
    <s v="赤穂郡上郡町"/>
    <x v="47"/>
    <x v="0"/>
    <x v="0"/>
    <x v="0"/>
    <x v="0"/>
    <n v="0"/>
    <n v="0"/>
    <n v="0"/>
    <n v="0"/>
    <n v="0"/>
    <n v="0"/>
    <x v="0"/>
    <n v="0"/>
  </r>
  <r>
    <s v="ti.28481"/>
    <x v="0"/>
    <x v="0"/>
    <x v="4"/>
    <s v="赤穂郡上郡町"/>
    <x v="47"/>
    <x v="1"/>
    <x v="1"/>
    <x v="1"/>
    <x v="1"/>
    <n v="90"/>
    <n v="21.43"/>
    <n v="41"/>
    <n v="14.39"/>
    <n v="49"/>
    <n v="36.57"/>
    <x v="0"/>
    <n v="0"/>
  </r>
  <r>
    <s v="ti.28481"/>
    <x v="0"/>
    <x v="0"/>
    <x v="4"/>
    <s v="赤穂郡上郡町"/>
    <x v="47"/>
    <x v="2"/>
    <x v="2"/>
    <x v="2"/>
    <x v="2"/>
    <n v="27"/>
    <n v="6.43"/>
    <n v="15"/>
    <n v="5.26"/>
    <n v="12"/>
    <n v="8.9600000000000009"/>
    <x v="0"/>
    <n v="0"/>
  </r>
  <r>
    <s v="ti.28481"/>
    <x v="0"/>
    <x v="0"/>
    <x v="4"/>
    <s v="赤穂郡上郡町"/>
    <x v="47"/>
    <x v="3"/>
    <x v="3"/>
    <x v="3"/>
    <x v="3"/>
    <n v="1"/>
    <n v="0.24"/>
    <n v="0"/>
    <n v="0"/>
    <n v="1"/>
    <n v="0.75"/>
    <x v="0"/>
    <n v="0"/>
  </r>
  <r>
    <s v="ti.28481"/>
    <x v="0"/>
    <x v="0"/>
    <x v="4"/>
    <s v="赤穂郡上郡町"/>
    <x v="47"/>
    <x v="4"/>
    <x v="4"/>
    <x v="4"/>
    <x v="4"/>
    <n v="0"/>
    <n v="0"/>
    <n v="0"/>
    <n v="0"/>
    <n v="0"/>
    <n v="0"/>
    <x v="0"/>
    <n v="0"/>
  </r>
  <r>
    <s v="ti.28481"/>
    <x v="0"/>
    <x v="0"/>
    <x v="4"/>
    <s v="赤穂郡上郡町"/>
    <x v="47"/>
    <x v="5"/>
    <x v="5"/>
    <x v="5"/>
    <x v="5"/>
    <n v="5"/>
    <n v="1.19"/>
    <n v="2"/>
    <n v="0.7"/>
    <n v="3"/>
    <n v="2.2400000000000002"/>
    <x v="0"/>
    <n v="0"/>
  </r>
  <r>
    <s v="ti.28481"/>
    <x v="0"/>
    <x v="0"/>
    <x v="4"/>
    <s v="赤穂郡上郡町"/>
    <x v="47"/>
    <x v="6"/>
    <x v="6"/>
    <x v="6"/>
    <x v="6"/>
    <n v="103"/>
    <n v="24.52"/>
    <n v="68"/>
    <n v="23.86"/>
    <n v="34"/>
    <n v="25.37"/>
    <x v="6"/>
    <n v="100"/>
  </r>
  <r>
    <s v="ti.28481"/>
    <x v="0"/>
    <x v="0"/>
    <x v="4"/>
    <s v="赤穂郡上郡町"/>
    <x v="47"/>
    <x v="7"/>
    <x v="7"/>
    <x v="7"/>
    <x v="7"/>
    <n v="2"/>
    <n v="0.48"/>
    <n v="0"/>
    <n v="0"/>
    <n v="2"/>
    <n v="1.49"/>
    <x v="0"/>
    <n v="0"/>
  </r>
  <r>
    <s v="ti.28481"/>
    <x v="0"/>
    <x v="0"/>
    <x v="4"/>
    <s v="赤穂郡上郡町"/>
    <x v="47"/>
    <x v="8"/>
    <x v="8"/>
    <x v="8"/>
    <x v="8"/>
    <n v="34"/>
    <n v="8.1"/>
    <n v="31"/>
    <n v="10.88"/>
    <n v="3"/>
    <n v="2.2400000000000002"/>
    <x v="0"/>
    <n v="0"/>
  </r>
  <r>
    <s v="ti.28481"/>
    <x v="0"/>
    <x v="0"/>
    <x v="4"/>
    <s v="赤穂郡上郡町"/>
    <x v="47"/>
    <x v="9"/>
    <x v="9"/>
    <x v="9"/>
    <x v="9"/>
    <n v="18"/>
    <n v="4.29"/>
    <n v="9"/>
    <n v="3.16"/>
    <n v="9"/>
    <n v="6.72"/>
    <x v="0"/>
    <n v="0"/>
  </r>
  <r>
    <s v="ti.28481"/>
    <x v="0"/>
    <x v="0"/>
    <x v="4"/>
    <s v="赤穂郡上郡町"/>
    <x v="47"/>
    <x v="10"/>
    <x v="10"/>
    <x v="10"/>
    <x v="10"/>
    <n v="38"/>
    <n v="9.0500000000000007"/>
    <n v="36"/>
    <n v="12.63"/>
    <n v="2"/>
    <n v="1.49"/>
    <x v="0"/>
    <n v="0"/>
  </r>
  <r>
    <s v="ti.28481"/>
    <x v="0"/>
    <x v="0"/>
    <x v="4"/>
    <s v="赤穂郡上郡町"/>
    <x v="47"/>
    <x v="11"/>
    <x v="11"/>
    <x v="11"/>
    <x v="11"/>
    <n v="53"/>
    <n v="12.62"/>
    <n v="43"/>
    <n v="15.09"/>
    <n v="10"/>
    <n v="7.46"/>
    <x v="0"/>
    <n v="0"/>
  </r>
  <r>
    <s v="ti.28481"/>
    <x v="0"/>
    <x v="0"/>
    <x v="4"/>
    <s v="赤穂郡上郡町"/>
    <x v="47"/>
    <x v="12"/>
    <x v="12"/>
    <x v="12"/>
    <x v="12"/>
    <n v="22"/>
    <n v="5.24"/>
    <n v="21"/>
    <n v="7.37"/>
    <n v="1"/>
    <n v="0.75"/>
    <x v="0"/>
    <n v="0"/>
  </r>
  <r>
    <s v="ti.28481"/>
    <x v="0"/>
    <x v="0"/>
    <x v="4"/>
    <s v="赤穂郡上郡町"/>
    <x v="47"/>
    <x v="13"/>
    <x v="13"/>
    <x v="13"/>
    <x v="13"/>
    <n v="19"/>
    <n v="4.5199999999999996"/>
    <n v="15"/>
    <n v="5.26"/>
    <n v="4"/>
    <n v="2.99"/>
    <x v="0"/>
    <n v="0"/>
  </r>
  <r>
    <s v="ti.28481"/>
    <x v="0"/>
    <x v="0"/>
    <x v="4"/>
    <s v="赤穂郡上郡町"/>
    <x v="47"/>
    <x v="14"/>
    <x v="14"/>
    <x v="14"/>
    <x v="14"/>
    <n v="8"/>
    <n v="1.9"/>
    <n v="4"/>
    <n v="1.4"/>
    <n v="4"/>
    <n v="2.99"/>
    <x v="0"/>
    <n v="0"/>
  </r>
  <r>
    <s v="ti.28501"/>
    <x v="0"/>
    <x v="0"/>
    <x v="4"/>
    <s v="佐用郡佐用町"/>
    <x v="48"/>
    <x v="0"/>
    <x v="0"/>
    <x v="0"/>
    <x v="0"/>
    <n v="0"/>
    <n v="0"/>
    <n v="0"/>
    <n v="0"/>
    <n v="0"/>
    <n v="0"/>
    <x v="0"/>
    <n v="0"/>
  </r>
  <r>
    <s v="ti.28501"/>
    <x v="0"/>
    <x v="0"/>
    <x v="4"/>
    <s v="佐用郡佐用町"/>
    <x v="48"/>
    <x v="1"/>
    <x v="1"/>
    <x v="1"/>
    <x v="1"/>
    <n v="143"/>
    <n v="24.16"/>
    <n v="94"/>
    <n v="21.32"/>
    <n v="49"/>
    <n v="32.67"/>
    <x v="0"/>
    <n v="0"/>
  </r>
  <r>
    <s v="ti.28501"/>
    <x v="0"/>
    <x v="0"/>
    <x v="4"/>
    <s v="佐用郡佐用町"/>
    <x v="48"/>
    <x v="2"/>
    <x v="2"/>
    <x v="2"/>
    <x v="2"/>
    <n v="57"/>
    <n v="9.6300000000000008"/>
    <n v="32"/>
    <n v="7.26"/>
    <n v="24"/>
    <n v="16"/>
    <x v="6"/>
    <n v="100"/>
  </r>
  <r>
    <s v="ti.28501"/>
    <x v="0"/>
    <x v="0"/>
    <x v="4"/>
    <s v="佐用郡佐用町"/>
    <x v="48"/>
    <x v="3"/>
    <x v="3"/>
    <x v="3"/>
    <x v="3"/>
    <n v="0"/>
    <n v="0"/>
    <n v="0"/>
    <n v="0"/>
    <n v="0"/>
    <n v="0"/>
    <x v="0"/>
    <n v="0"/>
  </r>
  <r>
    <s v="ti.28501"/>
    <x v="0"/>
    <x v="0"/>
    <x v="4"/>
    <s v="佐用郡佐用町"/>
    <x v="48"/>
    <x v="4"/>
    <x v="4"/>
    <x v="4"/>
    <x v="4"/>
    <n v="2"/>
    <n v="0.34"/>
    <n v="0"/>
    <n v="0"/>
    <n v="2"/>
    <n v="1.33"/>
    <x v="0"/>
    <n v="0"/>
  </r>
  <r>
    <s v="ti.28501"/>
    <x v="0"/>
    <x v="0"/>
    <x v="4"/>
    <s v="佐用郡佐用町"/>
    <x v="48"/>
    <x v="5"/>
    <x v="5"/>
    <x v="5"/>
    <x v="5"/>
    <n v="8"/>
    <n v="1.35"/>
    <n v="6"/>
    <n v="1.36"/>
    <n v="2"/>
    <n v="1.33"/>
    <x v="0"/>
    <n v="0"/>
  </r>
  <r>
    <s v="ti.28501"/>
    <x v="0"/>
    <x v="0"/>
    <x v="4"/>
    <s v="佐用郡佐用町"/>
    <x v="48"/>
    <x v="6"/>
    <x v="6"/>
    <x v="6"/>
    <x v="6"/>
    <n v="164"/>
    <n v="27.7"/>
    <n v="128"/>
    <n v="29.02"/>
    <n v="36"/>
    <n v="24"/>
    <x v="0"/>
    <n v="0"/>
  </r>
  <r>
    <s v="ti.28501"/>
    <x v="0"/>
    <x v="0"/>
    <x v="4"/>
    <s v="佐用郡佐用町"/>
    <x v="48"/>
    <x v="7"/>
    <x v="7"/>
    <x v="7"/>
    <x v="7"/>
    <n v="11"/>
    <n v="1.86"/>
    <n v="9"/>
    <n v="2.04"/>
    <n v="2"/>
    <n v="1.33"/>
    <x v="0"/>
    <n v="0"/>
  </r>
  <r>
    <s v="ti.28501"/>
    <x v="0"/>
    <x v="0"/>
    <x v="4"/>
    <s v="佐用郡佐用町"/>
    <x v="48"/>
    <x v="8"/>
    <x v="8"/>
    <x v="8"/>
    <x v="8"/>
    <n v="11"/>
    <n v="1.86"/>
    <n v="6"/>
    <n v="1.36"/>
    <n v="5"/>
    <n v="3.33"/>
    <x v="0"/>
    <n v="0"/>
  </r>
  <r>
    <s v="ti.28501"/>
    <x v="0"/>
    <x v="0"/>
    <x v="4"/>
    <s v="佐用郡佐用町"/>
    <x v="48"/>
    <x v="9"/>
    <x v="9"/>
    <x v="9"/>
    <x v="9"/>
    <n v="21"/>
    <n v="3.55"/>
    <n v="14"/>
    <n v="3.17"/>
    <n v="7"/>
    <n v="4.67"/>
    <x v="0"/>
    <n v="0"/>
  </r>
  <r>
    <s v="ti.28501"/>
    <x v="0"/>
    <x v="0"/>
    <x v="4"/>
    <s v="佐用郡佐用町"/>
    <x v="48"/>
    <x v="10"/>
    <x v="10"/>
    <x v="10"/>
    <x v="10"/>
    <n v="56"/>
    <n v="9.4600000000000009"/>
    <n v="53"/>
    <n v="12.02"/>
    <n v="3"/>
    <n v="2"/>
    <x v="0"/>
    <n v="0"/>
  </r>
  <r>
    <s v="ti.28501"/>
    <x v="0"/>
    <x v="0"/>
    <x v="4"/>
    <s v="佐用郡佐用町"/>
    <x v="48"/>
    <x v="11"/>
    <x v="11"/>
    <x v="11"/>
    <x v="11"/>
    <n v="67"/>
    <n v="11.32"/>
    <n v="65"/>
    <n v="14.74"/>
    <n v="2"/>
    <n v="1.33"/>
    <x v="0"/>
    <n v="0"/>
  </r>
  <r>
    <s v="ti.28501"/>
    <x v="0"/>
    <x v="0"/>
    <x v="4"/>
    <s v="佐用郡佐用町"/>
    <x v="48"/>
    <x v="12"/>
    <x v="12"/>
    <x v="12"/>
    <x v="12"/>
    <n v="16"/>
    <n v="2.7"/>
    <n v="13"/>
    <n v="2.95"/>
    <n v="3"/>
    <n v="2"/>
    <x v="0"/>
    <n v="0"/>
  </r>
  <r>
    <s v="ti.28501"/>
    <x v="0"/>
    <x v="0"/>
    <x v="4"/>
    <s v="佐用郡佐用町"/>
    <x v="48"/>
    <x v="13"/>
    <x v="13"/>
    <x v="13"/>
    <x v="13"/>
    <n v="15"/>
    <n v="2.5299999999999998"/>
    <n v="8"/>
    <n v="1.81"/>
    <n v="7"/>
    <n v="4.67"/>
    <x v="0"/>
    <n v="0"/>
  </r>
  <r>
    <s v="ti.28501"/>
    <x v="0"/>
    <x v="0"/>
    <x v="4"/>
    <s v="佐用郡佐用町"/>
    <x v="48"/>
    <x v="14"/>
    <x v="14"/>
    <x v="14"/>
    <x v="14"/>
    <n v="21"/>
    <n v="3.55"/>
    <n v="13"/>
    <n v="2.95"/>
    <n v="8"/>
    <n v="5.33"/>
    <x v="0"/>
    <n v="0"/>
  </r>
  <r>
    <s v="ti.28585"/>
    <x v="0"/>
    <x v="0"/>
    <x v="4"/>
    <s v="美方郡香美町"/>
    <x v="49"/>
    <x v="0"/>
    <x v="0"/>
    <x v="0"/>
    <x v="0"/>
    <n v="1"/>
    <n v="0.13"/>
    <n v="0"/>
    <n v="0"/>
    <n v="1"/>
    <n v="0.62"/>
    <x v="0"/>
    <n v="0"/>
  </r>
  <r>
    <s v="ti.28585"/>
    <x v="0"/>
    <x v="0"/>
    <x v="4"/>
    <s v="美方郡香美町"/>
    <x v="49"/>
    <x v="1"/>
    <x v="1"/>
    <x v="1"/>
    <x v="1"/>
    <n v="131"/>
    <n v="16.579999999999998"/>
    <n v="106"/>
    <n v="17.010000000000002"/>
    <n v="25"/>
    <n v="15.43"/>
    <x v="0"/>
    <n v="0"/>
  </r>
  <r>
    <s v="ti.28585"/>
    <x v="0"/>
    <x v="0"/>
    <x v="4"/>
    <s v="美方郡香美町"/>
    <x v="49"/>
    <x v="2"/>
    <x v="2"/>
    <x v="2"/>
    <x v="2"/>
    <n v="103"/>
    <n v="13.04"/>
    <n v="50"/>
    <n v="8.0299999999999994"/>
    <n v="52"/>
    <n v="32.1"/>
    <x v="6"/>
    <n v="20"/>
  </r>
  <r>
    <s v="ti.28585"/>
    <x v="0"/>
    <x v="0"/>
    <x v="4"/>
    <s v="美方郡香美町"/>
    <x v="49"/>
    <x v="3"/>
    <x v="3"/>
    <x v="3"/>
    <x v="3"/>
    <n v="1"/>
    <n v="0.13"/>
    <n v="0"/>
    <n v="0"/>
    <n v="1"/>
    <n v="0.62"/>
    <x v="0"/>
    <n v="0"/>
  </r>
  <r>
    <s v="ti.28585"/>
    <x v="0"/>
    <x v="0"/>
    <x v="4"/>
    <s v="美方郡香美町"/>
    <x v="49"/>
    <x v="4"/>
    <x v="4"/>
    <x v="4"/>
    <x v="4"/>
    <n v="3"/>
    <n v="0.38"/>
    <n v="0"/>
    <n v="0"/>
    <n v="3"/>
    <n v="1.85"/>
    <x v="0"/>
    <n v="0"/>
  </r>
  <r>
    <s v="ti.28585"/>
    <x v="0"/>
    <x v="0"/>
    <x v="4"/>
    <s v="美方郡香美町"/>
    <x v="49"/>
    <x v="5"/>
    <x v="5"/>
    <x v="5"/>
    <x v="5"/>
    <n v="10"/>
    <n v="1.27"/>
    <n v="2"/>
    <n v="0.32"/>
    <n v="6"/>
    <n v="3.7"/>
    <x v="1"/>
    <n v="40"/>
  </r>
  <r>
    <s v="ti.28585"/>
    <x v="0"/>
    <x v="0"/>
    <x v="4"/>
    <s v="美方郡香美町"/>
    <x v="49"/>
    <x v="6"/>
    <x v="6"/>
    <x v="6"/>
    <x v="6"/>
    <n v="218"/>
    <n v="27.59"/>
    <n v="164"/>
    <n v="26.32"/>
    <n v="54"/>
    <n v="33.33"/>
    <x v="0"/>
    <n v="0"/>
  </r>
  <r>
    <s v="ti.28585"/>
    <x v="0"/>
    <x v="0"/>
    <x v="4"/>
    <s v="美方郡香美町"/>
    <x v="49"/>
    <x v="7"/>
    <x v="7"/>
    <x v="7"/>
    <x v="7"/>
    <n v="0"/>
    <n v="0"/>
    <n v="0"/>
    <n v="0"/>
    <n v="0"/>
    <n v="0"/>
    <x v="0"/>
    <n v="0"/>
  </r>
  <r>
    <s v="ti.28585"/>
    <x v="0"/>
    <x v="0"/>
    <x v="4"/>
    <s v="美方郡香美町"/>
    <x v="49"/>
    <x v="8"/>
    <x v="8"/>
    <x v="8"/>
    <x v="8"/>
    <n v="12"/>
    <n v="1.52"/>
    <n v="7"/>
    <n v="1.1200000000000001"/>
    <n v="5"/>
    <n v="3.09"/>
    <x v="0"/>
    <n v="0"/>
  </r>
  <r>
    <s v="ti.28585"/>
    <x v="0"/>
    <x v="0"/>
    <x v="4"/>
    <s v="美方郡香美町"/>
    <x v="49"/>
    <x v="9"/>
    <x v="9"/>
    <x v="9"/>
    <x v="9"/>
    <n v="22"/>
    <n v="2.78"/>
    <n v="21"/>
    <n v="3.37"/>
    <n v="1"/>
    <n v="0.62"/>
    <x v="0"/>
    <n v="0"/>
  </r>
  <r>
    <s v="ti.28585"/>
    <x v="0"/>
    <x v="0"/>
    <x v="4"/>
    <s v="美方郡香美町"/>
    <x v="49"/>
    <x v="10"/>
    <x v="10"/>
    <x v="10"/>
    <x v="10"/>
    <n v="156"/>
    <n v="19.75"/>
    <n v="151"/>
    <n v="24.24"/>
    <n v="5"/>
    <n v="3.09"/>
    <x v="0"/>
    <n v="0"/>
  </r>
  <r>
    <s v="ti.28585"/>
    <x v="0"/>
    <x v="0"/>
    <x v="4"/>
    <s v="美方郡香美町"/>
    <x v="49"/>
    <x v="11"/>
    <x v="11"/>
    <x v="11"/>
    <x v="11"/>
    <n v="75"/>
    <n v="9.49"/>
    <n v="71"/>
    <n v="11.4"/>
    <n v="3"/>
    <n v="1.85"/>
    <x v="6"/>
    <n v="20"/>
  </r>
  <r>
    <s v="ti.28585"/>
    <x v="0"/>
    <x v="0"/>
    <x v="4"/>
    <s v="美方郡香美町"/>
    <x v="49"/>
    <x v="12"/>
    <x v="12"/>
    <x v="12"/>
    <x v="12"/>
    <n v="31"/>
    <n v="3.92"/>
    <n v="29"/>
    <n v="4.6500000000000004"/>
    <n v="1"/>
    <n v="0.62"/>
    <x v="6"/>
    <n v="20"/>
  </r>
  <r>
    <s v="ti.28585"/>
    <x v="0"/>
    <x v="0"/>
    <x v="4"/>
    <s v="美方郡香美町"/>
    <x v="49"/>
    <x v="13"/>
    <x v="13"/>
    <x v="13"/>
    <x v="13"/>
    <n v="17"/>
    <n v="2.15"/>
    <n v="14"/>
    <n v="2.25"/>
    <n v="3"/>
    <n v="1.85"/>
    <x v="0"/>
    <n v="0"/>
  </r>
  <r>
    <s v="ti.28585"/>
    <x v="0"/>
    <x v="0"/>
    <x v="4"/>
    <s v="美方郡香美町"/>
    <x v="49"/>
    <x v="14"/>
    <x v="14"/>
    <x v="14"/>
    <x v="14"/>
    <n v="10"/>
    <n v="1.27"/>
    <n v="8"/>
    <n v="1.28"/>
    <n v="2"/>
    <n v="1.23"/>
    <x v="0"/>
    <n v="0"/>
  </r>
  <r>
    <s v="ti.28586"/>
    <x v="0"/>
    <x v="0"/>
    <x v="4"/>
    <s v="美方郡新温泉町"/>
    <x v="50"/>
    <x v="0"/>
    <x v="0"/>
    <x v="0"/>
    <x v="0"/>
    <n v="0"/>
    <n v="0"/>
    <n v="0"/>
    <n v="0"/>
    <n v="0"/>
    <n v="0"/>
    <x v="0"/>
    <n v="0"/>
  </r>
  <r>
    <s v="ti.28586"/>
    <x v="0"/>
    <x v="0"/>
    <x v="4"/>
    <s v="美方郡新温泉町"/>
    <x v="50"/>
    <x v="1"/>
    <x v="1"/>
    <x v="1"/>
    <x v="1"/>
    <n v="90"/>
    <n v="19.57"/>
    <n v="50"/>
    <n v="14.53"/>
    <n v="40"/>
    <n v="35.4"/>
    <x v="0"/>
    <n v="0"/>
  </r>
  <r>
    <s v="ti.28586"/>
    <x v="0"/>
    <x v="0"/>
    <x v="4"/>
    <s v="美方郡新温泉町"/>
    <x v="50"/>
    <x v="2"/>
    <x v="2"/>
    <x v="2"/>
    <x v="2"/>
    <n v="31"/>
    <n v="6.74"/>
    <n v="21"/>
    <n v="6.1"/>
    <n v="10"/>
    <n v="8.85"/>
    <x v="0"/>
    <n v="0"/>
  </r>
  <r>
    <s v="ti.28586"/>
    <x v="0"/>
    <x v="0"/>
    <x v="4"/>
    <s v="美方郡新温泉町"/>
    <x v="50"/>
    <x v="3"/>
    <x v="3"/>
    <x v="3"/>
    <x v="3"/>
    <n v="0"/>
    <n v="0"/>
    <n v="0"/>
    <n v="0"/>
    <n v="0"/>
    <n v="0"/>
    <x v="0"/>
    <n v="0"/>
  </r>
  <r>
    <s v="ti.28586"/>
    <x v="0"/>
    <x v="0"/>
    <x v="4"/>
    <s v="美方郡新温泉町"/>
    <x v="50"/>
    <x v="4"/>
    <x v="4"/>
    <x v="4"/>
    <x v="4"/>
    <n v="1"/>
    <n v="0.22"/>
    <n v="0"/>
    <n v="0"/>
    <n v="1"/>
    <n v="0.88"/>
    <x v="0"/>
    <n v="0"/>
  </r>
  <r>
    <s v="ti.28586"/>
    <x v="0"/>
    <x v="0"/>
    <x v="4"/>
    <s v="美方郡新温泉町"/>
    <x v="50"/>
    <x v="5"/>
    <x v="5"/>
    <x v="5"/>
    <x v="5"/>
    <n v="7"/>
    <n v="1.52"/>
    <n v="4"/>
    <n v="1.1599999999999999"/>
    <n v="1"/>
    <n v="0.88"/>
    <x v="1"/>
    <n v="66.67"/>
  </r>
  <r>
    <s v="ti.28586"/>
    <x v="0"/>
    <x v="0"/>
    <x v="4"/>
    <s v="美方郡新温泉町"/>
    <x v="50"/>
    <x v="6"/>
    <x v="6"/>
    <x v="6"/>
    <x v="6"/>
    <n v="132"/>
    <n v="28.7"/>
    <n v="98"/>
    <n v="28.49"/>
    <n v="34"/>
    <n v="30.09"/>
    <x v="0"/>
    <n v="0"/>
  </r>
  <r>
    <s v="ti.28586"/>
    <x v="0"/>
    <x v="0"/>
    <x v="4"/>
    <s v="美方郡新温泉町"/>
    <x v="50"/>
    <x v="7"/>
    <x v="7"/>
    <x v="7"/>
    <x v="7"/>
    <n v="1"/>
    <n v="0.22"/>
    <n v="0"/>
    <n v="0"/>
    <n v="1"/>
    <n v="0.88"/>
    <x v="0"/>
    <n v="0"/>
  </r>
  <r>
    <s v="ti.28586"/>
    <x v="0"/>
    <x v="0"/>
    <x v="4"/>
    <s v="美方郡新温泉町"/>
    <x v="50"/>
    <x v="8"/>
    <x v="8"/>
    <x v="8"/>
    <x v="8"/>
    <n v="19"/>
    <n v="4.13"/>
    <n v="12"/>
    <n v="3.49"/>
    <n v="7"/>
    <n v="6.19"/>
    <x v="0"/>
    <n v="0"/>
  </r>
  <r>
    <s v="ti.28586"/>
    <x v="0"/>
    <x v="0"/>
    <x v="4"/>
    <s v="美方郡新温泉町"/>
    <x v="50"/>
    <x v="9"/>
    <x v="9"/>
    <x v="9"/>
    <x v="9"/>
    <n v="15"/>
    <n v="3.26"/>
    <n v="13"/>
    <n v="3.78"/>
    <n v="2"/>
    <n v="1.77"/>
    <x v="0"/>
    <n v="0"/>
  </r>
  <r>
    <s v="ti.28586"/>
    <x v="0"/>
    <x v="0"/>
    <x v="4"/>
    <s v="美方郡新温泉町"/>
    <x v="50"/>
    <x v="10"/>
    <x v="10"/>
    <x v="10"/>
    <x v="10"/>
    <n v="79"/>
    <n v="17.170000000000002"/>
    <n v="71"/>
    <n v="20.64"/>
    <n v="8"/>
    <n v="7.08"/>
    <x v="0"/>
    <n v="0"/>
  </r>
  <r>
    <s v="ti.28586"/>
    <x v="0"/>
    <x v="0"/>
    <x v="4"/>
    <s v="美方郡新温泉町"/>
    <x v="50"/>
    <x v="11"/>
    <x v="11"/>
    <x v="11"/>
    <x v="11"/>
    <n v="53"/>
    <n v="11.52"/>
    <n v="50"/>
    <n v="14.53"/>
    <n v="2"/>
    <n v="1.77"/>
    <x v="6"/>
    <n v="33.33"/>
  </r>
  <r>
    <s v="ti.28586"/>
    <x v="0"/>
    <x v="0"/>
    <x v="4"/>
    <s v="美方郡新温泉町"/>
    <x v="50"/>
    <x v="12"/>
    <x v="12"/>
    <x v="12"/>
    <x v="12"/>
    <n v="9"/>
    <n v="1.96"/>
    <n v="8"/>
    <n v="2.33"/>
    <n v="1"/>
    <n v="0.88"/>
    <x v="0"/>
    <n v="0"/>
  </r>
  <r>
    <s v="ti.28586"/>
    <x v="0"/>
    <x v="0"/>
    <x v="4"/>
    <s v="美方郡新温泉町"/>
    <x v="50"/>
    <x v="13"/>
    <x v="13"/>
    <x v="13"/>
    <x v="13"/>
    <n v="9"/>
    <n v="1.96"/>
    <n v="7"/>
    <n v="2.0299999999999998"/>
    <n v="2"/>
    <n v="1.77"/>
    <x v="0"/>
    <n v="0"/>
  </r>
  <r>
    <s v="ti.28586"/>
    <x v="0"/>
    <x v="0"/>
    <x v="4"/>
    <s v="美方郡新温泉町"/>
    <x v="50"/>
    <x v="14"/>
    <x v="14"/>
    <x v="14"/>
    <x v="14"/>
    <n v="14"/>
    <n v="3.04"/>
    <n v="10"/>
    <n v="2.91"/>
    <n v="4"/>
    <n v="3.54"/>
    <x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50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1"/>
    <x v="1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2"/>
    <x v="2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3"/>
    <x v="3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4"/>
    <x v="4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5"/>
    <x v="5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6"/>
    <x v="6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7"/>
    <x v="7"/>
  </r>
  <r>
    <x v="0"/>
    <x v="0"/>
    <x v="0"/>
    <x v="0"/>
    <x v="0"/>
    <x v="0"/>
    <x v="8"/>
    <x v="8"/>
    <x v="8"/>
    <x v="8"/>
    <x v="8"/>
    <x v="8"/>
    <x v="8"/>
    <x v="8"/>
    <x v="8"/>
    <x v="8"/>
    <x v="8"/>
    <x v="4"/>
    <x v="4"/>
  </r>
  <r>
    <x v="0"/>
    <x v="0"/>
    <x v="0"/>
    <x v="0"/>
    <x v="0"/>
    <x v="0"/>
    <x v="9"/>
    <x v="9"/>
    <x v="9"/>
    <x v="9"/>
    <x v="9"/>
    <x v="9"/>
    <x v="9"/>
    <x v="9"/>
    <x v="9"/>
    <x v="9"/>
    <x v="9"/>
    <x v="4"/>
    <x v="4"/>
  </r>
  <r>
    <x v="0"/>
    <x v="0"/>
    <x v="0"/>
    <x v="0"/>
    <x v="0"/>
    <x v="0"/>
    <x v="10"/>
    <x v="10"/>
    <x v="10"/>
    <x v="10"/>
    <x v="10"/>
    <x v="10"/>
    <x v="10"/>
    <x v="10"/>
    <x v="10"/>
    <x v="10"/>
    <x v="10"/>
    <x v="1"/>
    <x v="1"/>
  </r>
  <r>
    <x v="0"/>
    <x v="0"/>
    <x v="0"/>
    <x v="0"/>
    <x v="0"/>
    <x v="0"/>
    <x v="11"/>
    <x v="11"/>
    <x v="11"/>
    <x v="11"/>
    <x v="11"/>
    <x v="11"/>
    <x v="11"/>
    <x v="11"/>
    <x v="11"/>
    <x v="11"/>
    <x v="11"/>
    <x v="1"/>
    <x v="1"/>
  </r>
  <r>
    <x v="0"/>
    <x v="0"/>
    <x v="0"/>
    <x v="0"/>
    <x v="0"/>
    <x v="0"/>
    <x v="12"/>
    <x v="12"/>
    <x v="12"/>
    <x v="12"/>
    <x v="12"/>
    <x v="12"/>
    <x v="12"/>
    <x v="12"/>
    <x v="12"/>
    <x v="12"/>
    <x v="12"/>
    <x v="8"/>
    <x v="8"/>
  </r>
  <r>
    <x v="0"/>
    <x v="0"/>
    <x v="0"/>
    <x v="0"/>
    <x v="0"/>
    <x v="0"/>
    <x v="13"/>
    <x v="13"/>
    <x v="13"/>
    <x v="13"/>
    <x v="13"/>
    <x v="13"/>
    <x v="13"/>
    <x v="13"/>
    <x v="13"/>
    <x v="13"/>
    <x v="13"/>
    <x v="8"/>
    <x v="8"/>
  </r>
  <r>
    <x v="0"/>
    <x v="0"/>
    <x v="0"/>
    <x v="0"/>
    <x v="0"/>
    <x v="0"/>
    <x v="14"/>
    <x v="14"/>
    <x v="14"/>
    <x v="14"/>
    <x v="14"/>
    <x v="14"/>
    <x v="14"/>
    <x v="14"/>
    <x v="14"/>
    <x v="14"/>
    <x v="14"/>
    <x v="4"/>
    <x v="4"/>
  </r>
  <r>
    <x v="0"/>
    <x v="0"/>
    <x v="0"/>
    <x v="0"/>
    <x v="0"/>
    <x v="0"/>
    <x v="15"/>
    <x v="15"/>
    <x v="15"/>
    <x v="15"/>
    <x v="15"/>
    <x v="15"/>
    <x v="15"/>
    <x v="15"/>
    <x v="15"/>
    <x v="15"/>
    <x v="15"/>
    <x v="1"/>
    <x v="1"/>
  </r>
  <r>
    <x v="0"/>
    <x v="0"/>
    <x v="0"/>
    <x v="0"/>
    <x v="0"/>
    <x v="0"/>
    <x v="16"/>
    <x v="16"/>
    <x v="16"/>
    <x v="16"/>
    <x v="16"/>
    <x v="16"/>
    <x v="16"/>
    <x v="16"/>
    <x v="16"/>
    <x v="16"/>
    <x v="16"/>
    <x v="1"/>
    <x v="1"/>
  </r>
  <r>
    <x v="0"/>
    <x v="0"/>
    <x v="0"/>
    <x v="0"/>
    <x v="0"/>
    <x v="0"/>
    <x v="17"/>
    <x v="17"/>
    <x v="17"/>
    <x v="17"/>
    <x v="17"/>
    <x v="17"/>
    <x v="17"/>
    <x v="17"/>
    <x v="17"/>
    <x v="17"/>
    <x v="17"/>
    <x v="9"/>
    <x v="9"/>
  </r>
  <r>
    <x v="0"/>
    <x v="0"/>
    <x v="0"/>
    <x v="0"/>
    <x v="0"/>
    <x v="0"/>
    <x v="18"/>
    <x v="18"/>
    <x v="18"/>
    <x v="18"/>
    <x v="18"/>
    <x v="18"/>
    <x v="18"/>
    <x v="18"/>
    <x v="18"/>
    <x v="18"/>
    <x v="18"/>
    <x v="10"/>
    <x v="10"/>
  </r>
  <r>
    <x v="0"/>
    <x v="0"/>
    <x v="0"/>
    <x v="0"/>
    <x v="0"/>
    <x v="0"/>
    <x v="19"/>
    <x v="19"/>
    <x v="19"/>
    <x v="19"/>
    <x v="19"/>
    <x v="19"/>
    <x v="19"/>
    <x v="19"/>
    <x v="19"/>
    <x v="19"/>
    <x v="19"/>
    <x v="1"/>
    <x v="1"/>
  </r>
  <r>
    <x v="1"/>
    <x v="0"/>
    <x v="0"/>
    <x v="1"/>
    <x v="1"/>
    <x v="1"/>
    <x v="0"/>
    <x v="0"/>
    <x v="0"/>
    <x v="0"/>
    <x v="0"/>
    <x v="20"/>
    <x v="20"/>
    <x v="20"/>
    <x v="20"/>
    <x v="20"/>
    <x v="20"/>
    <x v="1"/>
    <x v="1"/>
  </r>
  <r>
    <x v="1"/>
    <x v="0"/>
    <x v="0"/>
    <x v="1"/>
    <x v="1"/>
    <x v="1"/>
    <x v="1"/>
    <x v="1"/>
    <x v="1"/>
    <x v="1"/>
    <x v="1"/>
    <x v="21"/>
    <x v="21"/>
    <x v="21"/>
    <x v="21"/>
    <x v="21"/>
    <x v="21"/>
    <x v="1"/>
    <x v="1"/>
  </r>
  <r>
    <x v="1"/>
    <x v="0"/>
    <x v="0"/>
    <x v="1"/>
    <x v="1"/>
    <x v="1"/>
    <x v="3"/>
    <x v="3"/>
    <x v="3"/>
    <x v="3"/>
    <x v="2"/>
    <x v="22"/>
    <x v="22"/>
    <x v="22"/>
    <x v="22"/>
    <x v="22"/>
    <x v="22"/>
    <x v="2"/>
    <x v="11"/>
  </r>
  <r>
    <x v="1"/>
    <x v="0"/>
    <x v="0"/>
    <x v="1"/>
    <x v="1"/>
    <x v="1"/>
    <x v="2"/>
    <x v="2"/>
    <x v="2"/>
    <x v="2"/>
    <x v="3"/>
    <x v="23"/>
    <x v="23"/>
    <x v="23"/>
    <x v="23"/>
    <x v="23"/>
    <x v="23"/>
    <x v="8"/>
    <x v="12"/>
  </r>
  <r>
    <x v="1"/>
    <x v="0"/>
    <x v="0"/>
    <x v="1"/>
    <x v="1"/>
    <x v="1"/>
    <x v="5"/>
    <x v="5"/>
    <x v="5"/>
    <x v="5"/>
    <x v="4"/>
    <x v="24"/>
    <x v="24"/>
    <x v="24"/>
    <x v="24"/>
    <x v="24"/>
    <x v="24"/>
    <x v="8"/>
    <x v="12"/>
  </r>
  <r>
    <x v="1"/>
    <x v="0"/>
    <x v="0"/>
    <x v="1"/>
    <x v="1"/>
    <x v="1"/>
    <x v="7"/>
    <x v="7"/>
    <x v="7"/>
    <x v="7"/>
    <x v="5"/>
    <x v="25"/>
    <x v="25"/>
    <x v="25"/>
    <x v="25"/>
    <x v="25"/>
    <x v="25"/>
    <x v="1"/>
    <x v="1"/>
  </r>
  <r>
    <x v="1"/>
    <x v="0"/>
    <x v="0"/>
    <x v="1"/>
    <x v="1"/>
    <x v="1"/>
    <x v="12"/>
    <x v="12"/>
    <x v="12"/>
    <x v="12"/>
    <x v="6"/>
    <x v="26"/>
    <x v="26"/>
    <x v="26"/>
    <x v="26"/>
    <x v="26"/>
    <x v="26"/>
    <x v="8"/>
    <x v="12"/>
  </r>
  <r>
    <x v="1"/>
    <x v="0"/>
    <x v="0"/>
    <x v="1"/>
    <x v="1"/>
    <x v="1"/>
    <x v="6"/>
    <x v="6"/>
    <x v="6"/>
    <x v="6"/>
    <x v="7"/>
    <x v="27"/>
    <x v="27"/>
    <x v="27"/>
    <x v="27"/>
    <x v="27"/>
    <x v="27"/>
    <x v="11"/>
    <x v="13"/>
  </r>
  <r>
    <x v="1"/>
    <x v="0"/>
    <x v="0"/>
    <x v="1"/>
    <x v="1"/>
    <x v="1"/>
    <x v="4"/>
    <x v="4"/>
    <x v="4"/>
    <x v="4"/>
    <x v="8"/>
    <x v="28"/>
    <x v="28"/>
    <x v="28"/>
    <x v="28"/>
    <x v="28"/>
    <x v="28"/>
    <x v="4"/>
    <x v="14"/>
  </r>
  <r>
    <x v="1"/>
    <x v="0"/>
    <x v="0"/>
    <x v="1"/>
    <x v="1"/>
    <x v="1"/>
    <x v="8"/>
    <x v="8"/>
    <x v="8"/>
    <x v="8"/>
    <x v="9"/>
    <x v="29"/>
    <x v="29"/>
    <x v="29"/>
    <x v="29"/>
    <x v="29"/>
    <x v="29"/>
    <x v="1"/>
    <x v="1"/>
  </r>
  <r>
    <x v="1"/>
    <x v="0"/>
    <x v="0"/>
    <x v="1"/>
    <x v="1"/>
    <x v="1"/>
    <x v="11"/>
    <x v="11"/>
    <x v="11"/>
    <x v="11"/>
    <x v="10"/>
    <x v="30"/>
    <x v="30"/>
    <x v="30"/>
    <x v="30"/>
    <x v="30"/>
    <x v="30"/>
    <x v="1"/>
    <x v="1"/>
  </r>
  <r>
    <x v="1"/>
    <x v="0"/>
    <x v="0"/>
    <x v="1"/>
    <x v="1"/>
    <x v="1"/>
    <x v="9"/>
    <x v="9"/>
    <x v="9"/>
    <x v="9"/>
    <x v="11"/>
    <x v="31"/>
    <x v="31"/>
    <x v="31"/>
    <x v="31"/>
    <x v="31"/>
    <x v="31"/>
    <x v="4"/>
    <x v="14"/>
  </r>
  <r>
    <x v="1"/>
    <x v="0"/>
    <x v="0"/>
    <x v="1"/>
    <x v="1"/>
    <x v="1"/>
    <x v="10"/>
    <x v="10"/>
    <x v="10"/>
    <x v="10"/>
    <x v="12"/>
    <x v="32"/>
    <x v="32"/>
    <x v="32"/>
    <x v="32"/>
    <x v="32"/>
    <x v="32"/>
    <x v="1"/>
    <x v="1"/>
  </r>
  <r>
    <x v="1"/>
    <x v="0"/>
    <x v="0"/>
    <x v="1"/>
    <x v="1"/>
    <x v="1"/>
    <x v="14"/>
    <x v="14"/>
    <x v="14"/>
    <x v="14"/>
    <x v="13"/>
    <x v="33"/>
    <x v="33"/>
    <x v="33"/>
    <x v="33"/>
    <x v="33"/>
    <x v="33"/>
    <x v="4"/>
    <x v="14"/>
  </r>
  <r>
    <x v="1"/>
    <x v="0"/>
    <x v="0"/>
    <x v="1"/>
    <x v="1"/>
    <x v="1"/>
    <x v="13"/>
    <x v="13"/>
    <x v="13"/>
    <x v="13"/>
    <x v="14"/>
    <x v="34"/>
    <x v="34"/>
    <x v="34"/>
    <x v="34"/>
    <x v="34"/>
    <x v="34"/>
    <x v="8"/>
    <x v="12"/>
  </r>
  <r>
    <x v="1"/>
    <x v="0"/>
    <x v="0"/>
    <x v="1"/>
    <x v="1"/>
    <x v="1"/>
    <x v="17"/>
    <x v="17"/>
    <x v="17"/>
    <x v="17"/>
    <x v="15"/>
    <x v="35"/>
    <x v="35"/>
    <x v="35"/>
    <x v="35"/>
    <x v="35"/>
    <x v="35"/>
    <x v="8"/>
    <x v="12"/>
  </r>
  <r>
    <x v="1"/>
    <x v="0"/>
    <x v="0"/>
    <x v="1"/>
    <x v="1"/>
    <x v="1"/>
    <x v="15"/>
    <x v="15"/>
    <x v="15"/>
    <x v="15"/>
    <x v="16"/>
    <x v="36"/>
    <x v="15"/>
    <x v="36"/>
    <x v="36"/>
    <x v="36"/>
    <x v="36"/>
    <x v="1"/>
    <x v="1"/>
  </r>
  <r>
    <x v="1"/>
    <x v="0"/>
    <x v="0"/>
    <x v="1"/>
    <x v="1"/>
    <x v="1"/>
    <x v="18"/>
    <x v="18"/>
    <x v="18"/>
    <x v="18"/>
    <x v="17"/>
    <x v="37"/>
    <x v="15"/>
    <x v="37"/>
    <x v="37"/>
    <x v="37"/>
    <x v="37"/>
    <x v="4"/>
    <x v="14"/>
  </r>
  <r>
    <x v="1"/>
    <x v="0"/>
    <x v="0"/>
    <x v="1"/>
    <x v="1"/>
    <x v="1"/>
    <x v="19"/>
    <x v="19"/>
    <x v="19"/>
    <x v="19"/>
    <x v="18"/>
    <x v="38"/>
    <x v="16"/>
    <x v="38"/>
    <x v="38"/>
    <x v="38"/>
    <x v="38"/>
    <x v="1"/>
    <x v="1"/>
  </r>
  <r>
    <x v="1"/>
    <x v="0"/>
    <x v="0"/>
    <x v="1"/>
    <x v="1"/>
    <x v="1"/>
    <x v="20"/>
    <x v="20"/>
    <x v="20"/>
    <x v="20"/>
    <x v="19"/>
    <x v="39"/>
    <x v="36"/>
    <x v="39"/>
    <x v="39"/>
    <x v="39"/>
    <x v="39"/>
    <x v="2"/>
    <x v="11"/>
  </r>
  <r>
    <x v="2"/>
    <x v="0"/>
    <x v="0"/>
    <x v="2"/>
    <x v="2"/>
    <x v="2"/>
    <x v="0"/>
    <x v="0"/>
    <x v="0"/>
    <x v="0"/>
    <x v="0"/>
    <x v="40"/>
    <x v="37"/>
    <x v="40"/>
    <x v="40"/>
    <x v="40"/>
    <x v="40"/>
    <x v="1"/>
    <x v="1"/>
  </r>
  <r>
    <x v="2"/>
    <x v="0"/>
    <x v="0"/>
    <x v="2"/>
    <x v="2"/>
    <x v="2"/>
    <x v="1"/>
    <x v="1"/>
    <x v="1"/>
    <x v="1"/>
    <x v="1"/>
    <x v="41"/>
    <x v="38"/>
    <x v="41"/>
    <x v="41"/>
    <x v="41"/>
    <x v="41"/>
    <x v="1"/>
    <x v="1"/>
  </r>
  <r>
    <x v="2"/>
    <x v="0"/>
    <x v="0"/>
    <x v="2"/>
    <x v="2"/>
    <x v="2"/>
    <x v="3"/>
    <x v="3"/>
    <x v="3"/>
    <x v="3"/>
    <x v="2"/>
    <x v="42"/>
    <x v="39"/>
    <x v="42"/>
    <x v="42"/>
    <x v="42"/>
    <x v="42"/>
    <x v="1"/>
    <x v="1"/>
  </r>
  <r>
    <x v="2"/>
    <x v="0"/>
    <x v="0"/>
    <x v="2"/>
    <x v="2"/>
    <x v="2"/>
    <x v="2"/>
    <x v="2"/>
    <x v="2"/>
    <x v="2"/>
    <x v="3"/>
    <x v="43"/>
    <x v="40"/>
    <x v="43"/>
    <x v="43"/>
    <x v="43"/>
    <x v="43"/>
    <x v="4"/>
    <x v="15"/>
  </r>
  <r>
    <x v="2"/>
    <x v="0"/>
    <x v="0"/>
    <x v="2"/>
    <x v="2"/>
    <x v="2"/>
    <x v="6"/>
    <x v="6"/>
    <x v="6"/>
    <x v="6"/>
    <x v="4"/>
    <x v="44"/>
    <x v="41"/>
    <x v="44"/>
    <x v="44"/>
    <x v="44"/>
    <x v="44"/>
    <x v="12"/>
    <x v="16"/>
  </r>
  <r>
    <x v="2"/>
    <x v="0"/>
    <x v="0"/>
    <x v="2"/>
    <x v="2"/>
    <x v="2"/>
    <x v="5"/>
    <x v="5"/>
    <x v="5"/>
    <x v="5"/>
    <x v="5"/>
    <x v="45"/>
    <x v="5"/>
    <x v="45"/>
    <x v="45"/>
    <x v="45"/>
    <x v="45"/>
    <x v="1"/>
    <x v="1"/>
  </r>
  <r>
    <x v="2"/>
    <x v="0"/>
    <x v="0"/>
    <x v="2"/>
    <x v="2"/>
    <x v="2"/>
    <x v="8"/>
    <x v="8"/>
    <x v="8"/>
    <x v="8"/>
    <x v="6"/>
    <x v="46"/>
    <x v="42"/>
    <x v="46"/>
    <x v="46"/>
    <x v="46"/>
    <x v="46"/>
    <x v="1"/>
    <x v="1"/>
  </r>
  <r>
    <x v="2"/>
    <x v="0"/>
    <x v="0"/>
    <x v="2"/>
    <x v="2"/>
    <x v="2"/>
    <x v="7"/>
    <x v="7"/>
    <x v="7"/>
    <x v="7"/>
    <x v="7"/>
    <x v="47"/>
    <x v="27"/>
    <x v="47"/>
    <x v="47"/>
    <x v="47"/>
    <x v="47"/>
    <x v="1"/>
    <x v="1"/>
  </r>
  <r>
    <x v="2"/>
    <x v="0"/>
    <x v="0"/>
    <x v="2"/>
    <x v="2"/>
    <x v="2"/>
    <x v="4"/>
    <x v="4"/>
    <x v="4"/>
    <x v="4"/>
    <x v="8"/>
    <x v="48"/>
    <x v="43"/>
    <x v="48"/>
    <x v="37"/>
    <x v="48"/>
    <x v="48"/>
    <x v="1"/>
    <x v="1"/>
  </r>
  <r>
    <x v="2"/>
    <x v="0"/>
    <x v="0"/>
    <x v="2"/>
    <x v="2"/>
    <x v="2"/>
    <x v="12"/>
    <x v="12"/>
    <x v="12"/>
    <x v="12"/>
    <x v="9"/>
    <x v="49"/>
    <x v="44"/>
    <x v="42"/>
    <x v="42"/>
    <x v="49"/>
    <x v="49"/>
    <x v="1"/>
    <x v="1"/>
  </r>
  <r>
    <x v="2"/>
    <x v="0"/>
    <x v="0"/>
    <x v="2"/>
    <x v="2"/>
    <x v="2"/>
    <x v="9"/>
    <x v="9"/>
    <x v="9"/>
    <x v="9"/>
    <x v="10"/>
    <x v="50"/>
    <x v="45"/>
    <x v="49"/>
    <x v="48"/>
    <x v="50"/>
    <x v="50"/>
    <x v="4"/>
    <x v="15"/>
  </r>
  <r>
    <x v="2"/>
    <x v="0"/>
    <x v="0"/>
    <x v="2"/>
    <x v="2"/>
    <x v="2"/>
    <x v="14"/>
    <x v="14"/>
    <x v="14"/>
    <x v="14"/>
    <x v="10"/>
    <x v="50"/>
    <x v="45"/>
    <x v="50"/>
    <x v="49"/>
    <x v="51"/>
    <x v="14"/>
    <x v="1"/>
    <x v="1"/>
  </r>
  <r>
    <x v="2"/>
    <x v="0"/>
    <x v="0"/>
    <x v="2"/>
    <x v="2"/>
    <x v="2"/>
    <x v="10"/>
    <x v="10"/>
    <x v="10"/>
    <x v="10"/>
    <x v="12"/>
    <x v="51"/>
    <x v="46"/>
    <x v="51"/>
    <x v="50"/>
    <x v="52"/>
    <x v="51"/>
    <x v="1"/>
    <x v="1"/>
  </r>
  <r>
    <x v="2"/>
    <x v="0"/>
    <x v="0"/>
    <x v="2"/>
    <x v="2"/>
    <x v="2"/>
    <x v="13"/>
    <x v="13"/>
    <x v="13"/>
    <x v="13"/>
    <x v="13"/>
    <x v="52"/>
    <x v="47"/>
    <x v="52"/>
    <x v="51"/>
    <x v="53"/>
    <x v="52"/>
    <x v="1"/>
    <x v="1"/>
  </r>
  <r>
    <x v="2"/>
    <x v="0"/>
    <x v="0"/>
    <x v="2"/>
    <x v="2"/>
    <x v="2"/>
    <x v="11"/>
    <x v="11"/>
    <x v="11"/>
    <x v="11"/>
    <x v="14"/>
    <x v="53"/>
    <x v="48"/>
    <x v="53"/>
    <x v="17"/>
    <x v="54"/>
    <x v="53"/>
    <x v="1"/>
    <x v="1"/>
  </r>
  <r>
    <x v="2"/>
    <x v="0"/>
    <x v="0"/>
    <x v="2"/>
    <x v="2"/>
    <x v="2"/>
    <x v="18"/>
    <x v="18"/>
    <x v="18"/>
    <x v="18"/>
    <x v="15"/>
    <x v="54"/>
    <x v="49"/>
    <x v="54"/>
    <x v="52"/>
    <x v="55"/>
    <x v="54"/>
    <x v="1"/>
    <x v="1"/>
  </r>
  <r>
    <x v="2"/>
    <x v="0"/>
    <x v="0"/>
    <x v="2"/>
    <x v="2"/>
    <x v="2"/>
    <x v="21"/>
    <x v="21"/>
    <x v="21"/>
    <x v="21"/>
    <x v="16"/>
    <x v="55"/>
    <x v="50"/>
    <x v="55"/>
    <x v="53"/>
    <x v="47"/>
    <x v="47"/>
    <x v="1"/>
    <x v="1"/>
  </r>
  <r>
    <x v="2"/>
    <x v="0"/>
    <x v="0"/>
    <x v="2"/>
    <x v="2"/>
    <x v="2"/>
    <x v="17"/>
    <x v="17"/>
    <x v="17"/>
    <x v="17"/>
    <x v="17"/>
    <x v="56"/>
    <x v="51"/>
    <x v="56"/>
    <x v="54"/>
    <x v="56"/>
    <x v="55"/>
    <x v="8"/>
    <x v="17"/>
  </r>
  <r>
    <x v="2"/>
    <x v="0"/>
    <x v="0"/>
    <x v="2"/>
    <x v="2"/>
    <x v="2"/>
    <x v="22"/>
    <x v="22"/>
    <x v="22"/>
    <x v="22"/>
    <x v="18"/>
    <x v="57"/>
    <x v="52"/>
    <x v="57"/>
    <x v="55"/>
    <x v="57"/>
    <x v="56"/>
    <x v="1"/>
    <x v="1"/>
  </r>
  <r>
    <x v="2"/>
    <x v="0"/>
    <x v="0"/>
    <x v="2"/>
    <x v="2"/>
    <x v="2"/>
    <x v="23"/>
    <x v="23"/>
    <x v="23"/>
    <x v="23"/>
    <x v="19"/>
    <x v="58"/>
    <x v="53"/>
    <x v="58"/>
    <x v="56"/>
    <x v="58"/>
    <x v="57"/>
    <x v="4"/>
    <x v="15"/>
  </r>
  <r>
    <x v="3"/>
    <x v="0"/>
    <x v="0"/>
    <x v="2"/>
    <x v="3"/>
    <x v="3"/>
    <x v="0"/>
    <x v="0"/>
    <x v="0"/>
    <x v="0"/>
    <x v="0"/>
    <x v="59"/>
    <x v="54"/>
    <x v="59"/>
    <x v="57"/>
    <x v="59"/>
    <x v="58"/>
    <x v="1"/>
    <x v="1"/>
  </r>
  <r>
    <x v="3"/>
    <x v="0"/>
    <x v="0"/>
    <x v="2"/>
    <x v="3"/>
    <x v="3"/>
    <x v="1"/>
    <x v="1"/>
    <x v="1"/>
    <x v="1"/>
    <x v="1"/>
    <x v="60"/>
    <x v="55"/>
    <x v="60"/>
    <x v="58"/>
    <x v="60"/>
    <x v="59"/>
    <x v="1"/>
    <x v="1"/>
  </r>
  <r>
    <x v="3"/>
    <x v="0"/>
    <x v="0"/>
    <x v="2"/>
    <x v="3"/>
    <x v="3"/>
    <x v="3"/>
    <x v="3"/>
    <x v="3"/>
    <x v="3"/>
    <x v="2"/>
    <x v="61"/>
    <x v="56"/>
    <x v="61"/>
    <x v="59"/>
    <x v="61"/>
    <x v="60"/>
    <x v="1"/>
    <x v="1"/>
  </r>
  <r>
    <x v="3"/>
    <x v="0"/>
    <x v="0"/>
    <x v="2"/>
    <x v="3"/>
    <x v="3"/>
    <x v="2"/>
    <x v="2"/>
    <x v="2"/>
    <x v="2"/>
    <x v="3"/>
    <x v="62"/>
    <x v="2"/>
    <x v="62"/>
    <x v="60"/>
    <x v="62"/>
    <x v="61"/>
    <x v="1"/>
    <x v="1"/>
  </r>
  <r>
    <x v="3"/>
    <x v="0"/>
    <x v="0"/>
    <x v="2"/>
    <x v="3"/>
    <x v="3"/>
    <x v="5"/>
    <x v="5"/>
    <x v="5"/>
    <x v="5"/>
    <x v="4"/>
    <x v="63"/>
    <x v="57"/>
    <x v="63"/>
    <x v="61"/>
    <x v="56"/>
    <x v="62"/>
    <x v="1"/>
    <x v="1"/>
  </r>
  <r>
    <x v="3"/>
    <x v="0"/>
    <x v="0"/>
    <x v="2"/>
    <x v="3"/>
    <x v="3"/>
    <x v="8"/>
    <x v="8"/>
    <x v="8"/>
    <x v="8"/>
    <x v="5"/>
    <x v="64"/>
    <x v="58"/>
    <x v="33"/>
    <x v="62"/>
    <x v="63"/>
    <x v="63"/>
    <x v="1"/>
    <x v="1"/>
  </r>
  <r>
    <x v="3"/>
    <x v="0"/>
    <x v="0"/>
    <x v="2"/>
    <x v="3"/>
    <x v="3"/>
    <x v="6"/>
    <x v="6"/>
    <x v="6"/>
    <x v="6"/>
    <x v="6"/>
    <x v="65"/>
    <x v="59"/>
    <x v="47"/>
    <x v="63"/>
    <x v="64"/>
    <x v="64"/>
    <x v="1"/>
    <x v="1"/>
  </r>
  <r>
    <x v="3"/>
    <x v="0"/>
    <x v="0"/>
    <x v="2"/>
    <x v="3"/>
    <x v="3"/>
    <x v="4"/>
    <x v="4"/>
    <x v="4"/>
    <x v="4"/>
    <x v="7"/>
    <x v="66"/>
    <x v="7"/>
    <x v="64"/>
    <x v="13"/>
    <x v="65"/>
    <x v="65"/>
    <x v="1"/>
    <x v="1"/>
  </r>
  <r>
    <x v="3"/>
    <x v="0"/>
    <x v="0"/>
    <x v="2"/>
    <x v="3"/>
    <x v="3"/>
    <x v="7"/>
    <x v="7"/>
    <x v="7"/>
    <x v="7"/>
    <x v="8"/>
    <x v="67"/>
    <x v="43"/>
    <x v="65"/>
    <x v="64"/>
    <x v="66"/>
    <x v="66"/>
    <x v="1"/>
    <x v="1"/>
  </r>
  <r>
    <x v="3"/>
    <x v="0"/>
    <x v="0"/>
    <x v="2"/>
    <x v="3"/>
    <x v="3"/>
    <x v="14"/>
    <x v="14"/>
    <x v="14"/>
    <x v="14"/>
    <x v="9"/>
    <x v="68"/>
    <x v="60"/>
    <x v="66"/>
    <x v="33"/>
    <x v="67"/>
    <x v="67"/>
    <x v="1"/>
    <x v="1"/>
  </r>
  <r>
    <x v="3"/>
    <x v="0"/>
    <x v="0"/>
    <x v="2"/>
    <x v="3"/>
    <x v="3"/>
    <x v="11"/>
    <x v="11"/>
    <x v="11"/>
    <x v="11"/>
    <x v="10"/>
    <x v="69"/>
    <x v="61"/>
    <x v="50"/>
    <x v="65"/>
    <x v="49"/>
    <x v="68"/>
    <x v="1"/>
    <x v="1"/>
  </r>
  <r>
    <x v="3"/>
    <x v="0"/>
    <x v="0"/>
    <x v="2"/>
    <x v="3"/>
    <x v="3"/>
    <x v="10"/>
    <x v="10"/>
    <x v="10"/>
    <x v="10"/>
    <x v="11"/>
    <x v="70"/>
    <x v="62"/>
    <x v="67"/>
    <x v="66"/>
    <x v="68"/>
    <x v="69"/>
    <x v="1"/>
    <x v="1"/>
  </r>
  <r>
    <x v="3"/>
    <x v="0"/>
    <x v="0"/>
    <x v="2"/>
    <x v="3"/>
    <x v="3"/>
    <x v="9"/>
    <x v="9"/>
    <x v="9"/>
    <x v="9"/>
    <x v="12"/>
    <x v="71"/>
    <x v="63"/>
    <x v="68"/>
    <x v="67"/>
    <x v="54"/>
    <x v="70"/>
    <x v="1"/>
    <x v="1"/>
  </r>
  <r>
    <x v="3"/>
    <x v="0"/>
    <x v="0"/>
    <x v="2"/>
    <x v="3"/>
    <x v="3"/>
    <x v="12"/>
    <x v="12"/>
    <x v="12"/>
    <x v="12"/>
    <x v="13"/>
    <x v="72"/>
    <x v="64"/>
    <x v="69"/>
    <x v="68"/>
    <x v="69"/>
    <x v="71"/>
    <x v="1"/>
    <x v="1"/>
  </r>
  <r>
    <x v="3"/>
    <x v="0"/>
    <x v="0"/>
    <x v="2"/>
    <x v="3"/>
    <x v="3"/>
    <x v="13"/>
    <x v="13"/>
    <x v="13"/>
    <x v="13"/>
    <x v="14"/>
    <x v="73"/>
    <x v="65"/>
    <x v="70"/>
    <x v="69"/>
    <x v="70"/>
    <x v="72"/>
    <x v="4"/>
    <x v="18"/>
  </r>
  <r>
    <x v="3"/>
    <x v="0"/>
    <x v="0"/>
    <x v="2"/>
    <x v="3"/>
    <x v="3"/>
    <x v="20"/>
    <x v="20"/>
    <x v="20"/>
    <x v="20"/>
    <x v="15"/>
    <x v="74"/>
    <x v="66"/>
    <x v="71"/>
    <x v="70"/>
    <x v="52"/>
    <x v="73"/>
    <x v="1"/>
    <x v="1"/>
  </r>
  <r>
    <x v="3"/>
    <x v="0"/>
    <x v="0"/>
    <x v="2"/>
    <x v="3"/>
    <x v="3"/>
    <x v="15"/>
    <x v="15"/>
    <x v="15"/>
    <x v="15"/>
    <x v="16"/>
    <x v="75"/>
    <x v="53"/>
    <x v="56"/>
    <x v="71"/>
    <x v="71"/>
    <x v="10"/>
    <x v="1"/>
    <x v="1"/>
  </r>
  <r>
    <x v="3"/>
    <x v="0"/>
    <x v="0"/>
    <x v="2"/>
    <x v="3"/>
    <x v="3"/>
    <x v="17"/>
    <x v="17"/>
    <x v="17"/>
    <x v="17"/>
    <x v="17"/>
    <x v="76"/>
    <x v="17"/>
    <x v="72"/>
    <x v="36"/>
    <x v="68"/>
    <x v="69"/>
    <x v="1"/>
    <x v="1"/>
  </r>
  <r>
    <x v="3"/>
    <x v="0"/>
    <x v="0"/>
    <x v="2"/>
    <x v="3"/>
    <x v="3"/>
    <x v="18"/>
    <x v="18"/>
    <x v="18"/>
    <x v="18"/>
    <x v="17"/>
    <x v="76"/>
    <x v="17"/>
    <x v="73"/>
    <x v="72"/>
    <x v="69"/>
    <x v="71"/>
    <x v="1"/>
    <x v="1"/>
  </r>
  <r>
    <x v="3"/>
    <x v="0"/>
    <x v="0"/>
    <x v="2"/>
    <x v="3"/>
    <x v="3"/>
    <x v="19"/>
    <x v="19"/>
    <x v="19"/>
    <x v="19"/>
    <x v="19"/>
    <x v="77"/>
    <x v="67"/>
    <x v="74"/>
    <x v="73"/>
    <x v="46"/>
    <x v="13"/>
    <x v="1"/>
    <x v="1"/>
  </r>
  <r>
    <x v="3"/>
    <x v="0"/>
    <x v="0"/>
    <x v="2"/>
    <x v="3"/>
    <x v="3"/>
    <x v="23"/>
    <x v="23"/>
    <x v="23"/>
    <x v="23"/>
    <x v="19"/>
    <x v="77"/>
    <x v="67"/>
    <x v="72"/>
    <x v="36"/>
    <x v="72"/>
    <x v="74"/>
    <x v="1"/>
    <x v="1"/>
  </r>
  <r>
    <x v="4"/>
    <x v="0"/>
    <x v="0"/>
    <x v="2"/>
    <x v="4"/>
    <x v="4"/>
    <x v="0"/>
    <x v="0"/>
    <x v="0"/>
    <x v="0"/>
    <x v="0"/>
    <x v="78"/>
    <x v="68"/>
    <x v="75"/>
    <x v="74"/>
    <x v="64"/>
    <x v="75"/>
    <x v="1"/>
    <x v="1"/>
  </r>
  <r>
    <x v="4"/>
    <x v="0"/>
    <x v="0"/>
    <x v="2"/>
    <x v="4"/>
    <x v="4"/>
    <x v="3"/>
    <x v="3"/>
    <x v="3"/>
    <x v="3"/>
    <x v="1"/>
    <x v="79"/>
    <x v="69"/>
    <x v="76"/>
    <x v="75"/>
    <x v="73"/>
    <x v="76"/>
    <x v="4"/>
    <x v="19"/>
  </r>
  <r>
    <x v="4"/>
    <x v="0"/>
    <x v="0"/>
    <x v="2"/>
    <x v="4"/>
    <x v="4"/>
    <x v="1"/>
    <x v="1"/>
    <x v="1"/>
    <x v="1"/>
    <x v="2"/>
    <x v="80"/>
    <x v="70"/>
    <x v="77"/>
    <x v="76"/>
    <x v="74"/>
    <x v="77"/>
    <x v="1"/>
    <x v="1"/>
  </r>
  <r>
    <x v="4"/>
    <x v="0"/>
    <x v="0"/>
    <x v="2"/>
    <x v="4"/>
    <x v="4"/>
    <x v="2"/>
    <x v="2"/>
    <x v="2"/>
    <x v="2"/>
    <x v="3"/>
    <x v="81"/>
    <x v="71"/>
    <x v="78"/>
    <x v="77"/>
    <x v="75"/>
    <x v="78"/>
    <x v="1"/>
    <x v="1"/>
  </r>
  <r>
    <x v="4"/>
    <x v="0"/>
    <x v="0"/>
    <x v="2"/>
    <x v="4"/>
    <x v="4"/>
    <x v="5"/>
    <x v="5"/>
    <x v="5"/>
    <x v="5"/>
    <x v="4"/>
    <x v="82"/>
    <x v="72"/>
    <x v="79"/>
    <x v="78"/>
    <x v="51"/>
    <x v="79"/>
    <x v="1"/>
    <x v="1"/>
  </r>
  <r>
    <x v="4"/>
    <x v="0"/>
    <x v="0"/>
    <x v="2"/>
    <x v="4"/>
    <x v="4"/>
    <x v="7"/>
    <x v="7"/>
    <x v="7"/>
    <x v="7"/>
    <x v="5"/>
    <x v="47"/>
    <x v="73"/>
    <x v="80"/>
    <x v="79"/>
    <x v="68"/>
    <x v="80"/>
    <x v="1"/>
    <x v="1"/>
  </r>
  <r>
    <x v="4"/>
    <x v="0"/>
    <x v="0"/>
    <x v="2"/>
    <x v="4"/>
    <x v="4"/>
    <x v="4"/>
    <x v="4"/>
    <x v="4"/>
    <x v="4"/>
    <x v="6"/>
    <x v="83"/>
    <x v="74"/>
    <x v="51"/>
    <x v="80"/>
    <x v="76"/>
    <x v="81"/>
    <x v="1"/>
    <x v="1"/>
  </r>
  <r>
    <x v="4"/>
    <x v="0"/>
    <x v="0"/>
    <x v="2"/>
    <x v="4"/>
    <x v="4"/>
    <x v="8"/>
    <x v="8"/>
    <x v="8"/>
    <x v="8"/>
    <x v="7"/>
    <x v="84"/>
    <x v="75"/>
    <x v="80"/>
    <x v="79"/>
    <x v="77"/>
    <x v="82"/>
    <x v="1"/>
    <x v="1"/>
  </r>
  <r>
    <x v="4"/>
    <x v="0"/>
    <x v="0"/>
    <x v="2"/>
    <x v="4"/>
    <x v="4"/>
    <x v="9"/>
    <x v="9"/>
    <x v="9"/>
    <x v="9"/>
    <x v="8"/>
    <x v="85"/>
    <x v="76"/>
    <x v="81"/>
    <x v="49"/>
    <x v="78"/>
    <x v="83"/>
    <x v="1"/>
    <x v="1"/>
  </r>
  <r>
    <x v="4"/>
    <x v="0"/>
    <x v="0"/>
    <x v="2"/>
    <x v="4"/>
    <x v="4"/>
    <x v="11"/>
    <x v="11"/>
    <x v="11"/>
    <x v="11"/>
    <x v="9"/>
    <x v="86"/>
    <x v="77"/>
    <x v="82"/>
    <x v="81"/>
    <x v="79"/>
    <x v="84"/>
    <x v="1"/>
    <x v="1"/>
  </r>
  <r>
    <x v="4"/>
    <x v="0"/>
    <x v="0"/>
    <x v="2"/>
    <x v="4"/>
    <x v="4"/>
    <x v="10"/>
    <x v="10"/>
    <x v="10"/>
    <x v="10"/>
    <x v="10"/>
    <x v="87"/>
    <x v="78"/>
    <x v="83"/>
    <x v="82"/>
    <x v="68"/>
    <x v="80"/>
    <x v="1"/>
    <x v="1"/>
  </r>
  <r>
    <x v="4"/>
    <x v="0"/>
    <x v="0"/>
    <x v="2"/>
    <x v="4"/>
    <x v="4"/>
    <x v="12"/>
    <x v="12"/>
    <x v="12"/>
    <x v="12"/>
    <x v="11"/>
    <x v="88"/>
    <x v="34"/>
    <x v="42"/>
    <x v="83"/>
    <x v="80"/>
    <x v="85"/>
    <x v="1"/>
    <x v="1"/>
  </r>
  <r>
    <x v="4"/>
    <x v="0"/>
    <x v="0"/>
    <x v="2"/>
    <x v="4"/>
    <x v="4"/>
    <x v="19"/>
    <x v="19"/>
    <x v="19"/>
    <x v="19"/>
    <x v="12"/>
    <x v="51"/>
    <x v="79"/>
    <x v="84"/>
    <x v="84"/>
    <x v="81"/>
    <x v="86"/>
    <x v="1"/>
    <x v="1"/>
  </r>
  <r>
    <x v="4"/>
    <x v="0"/>
    <x v="0"/>
    <x v="2"/>
    <x v="4"/>
    <x v="4"/>
    <x v="21"/>
    <x v="21"/>
    <x v="21"/>
    <x v="21"/>
    <x v="13"/>
    <x v="89"/>
    <x v="80"/>
    <x v="68"/>
    <x v="85"/>
    <x v="82"/>
    <x v="9"/>
    <x v="1"/>
    <x v="1"/>
  </r>
  <r>
    <x v="4"/>
    <x v="0"/>
    <x v="0"/>
    <x v="2"/>
    <x v="4"/>
    <x v="4"/>
    <x v="15"/>
    <x v="15"/>
    <x v="15"/>
    <x v="15"/>
    <x v="13"/>
    <x v="89"/>
    <x v="80"/>
    <x v="85"/>
    <x v="86"/>
    <x v="54"/>
    <x v="87"/>
    <x v="1"/>
    <x v="1"/>
  </r>
  <r>
    <x v="4"/>
    <x v="0"/>
    <x v="0"/>
    <x v="2"/>
    <x v="4"/>
    <x v="4"/>
    <x v="6"/>
    <x v="6"/>
    <x v="6"/>
    <x v="6"/>
    <x v="15"/>
    <x v="90"/>
    <x v="81"/>
    <x v="42"/>
    <x v="83"/>
    <x v="77"/>
    <x v="82"/>
    <x v="8"/>
    <x v="20"/>
  </r>
  <r>
    <x v="4"/>
    <x v="0"/>
    <x v="0"/>
    <x v="2"/>
    <x v="4"/>
    <x v="4"/>
    <x v="17"/>
    <x v="17"/>
    <x v="17"/>
    <x v="17"/>
    <x v="16"/>
    <x v="72"/>
    <x v="14"/>
    <x v="86"/>
    <x v="87"/>
    <x v="52"/>
    <x v="88"/>
    <x v="1"/>
    <x v="1"/>
  </r>
  <r>
    <x v="4"/>
    <x v="0"/>
    <x v="0"/>
    <x v="2"/>
    <x v="4"/>
    <x v="4"/>
    <x v="14"/>
    <x v="14"/>
    <x v="14"/>
    <x v="14"/>
    <x v="17"/>
    <x v="91"/>
    <x v="82"/>
    <x v="66"/>
    <x v="53"/>
    <x v="47"/>
    <x v="89"/>
    <x v="1"/>
    <x v="1"/>
  </r>
  <r>
    <x v="4"/>
    <x v="0"/>
    <x v="0"/>
    <x v="2"/>
    <x v="4"/>
    <x v="4"/>
    <x v="24"/>
    <x v="24"/>
    <x v="24"/>
    <x v="24"/>
    <x v="18"/>
    <x v="55"/>
    <x v="66"/>
    <x v="86"/>
    <x v="87"/>
    <x v="59"/>
    <x v="69"/>
    <x v="1"/>
    <x v="1"/>
  </r>
  <r>
    <x v="4"/>
    <x v="0"/>
    <x v="0"/>
    <x v="2"/>
    <x v="4"/>
    <x v="4"/>
    <x v="13"/>
    <x v="13"/>
    <x v="13"/>
    <x v="13"/>
    <x v="19"/>
    <x v="92"/>
    <x v="83"/>
    <x v="54"/>
    <x v="88"/>
    <x v="71"/>
    <x v="90"/>
    <x v="1"/>
    <x v="1"/>
  </r>
  <r>
    <x v="5"/>
    <x v="0"/>
    <x v="0"/>
    <x v="2"/>
    <x v="5"/>
    <x v="5"/>
    <x v="0"/>
    <x v="0"/>
    <x v="0"/>
    <x v="0"/>
    <x v="0"/>
    <x v="93"/>
    <x v="84"/>
    <x v="87"/>
    <x v="89"/>
    <x v="83"/>
    <x v="26"/>
    <x v="1"/>
    <x v="1"/>
  </r>
  <r>
    <x v="5"/>
    <x v="0"/>
    <x v="0"/>
    <x v="2"/>
    <x v="5"/>
    <x v="5"/>
    <x v="1"/>
    <x v="1"/>
    <x v="1"/>
    <x v="1"/>
    <x v="1"/>
    <x v="94"/>
    <x v="85"/>
    <x v="88"/>
    <x v="90"/>
    <x v="80"/>
    <x v="91"/>
    <x v="1"/>
    <x v="1"/>
  </r>
  <r>
    <x v="5"/>
    <x v="0"/>
    <x v="0"/>
    <x v="2"/>
    <x v="5"/>
    <x v="5"/>
    <x v="5"/>
    <x v="5"/>
    <x v="5"/>
    <x v="5"/>
    <x v="2"/>
    <x v="95"/>
    <x v="86"/>
    <x v="89"/>
    <x v="91"/>
    <x v="84"/>
    <x v="92"/>
    <x v="1"/>
    <x v="1"/>
  </r>
  <r>
    <x v="5"/>
    <x v="0"/>
    <x v="0"/>
    <x v="2"/>
    <x v="5"/>
    <x v="5"/>
    <x v="25"/>
    <x v="25"/>
    <x v="25"/>
    <x v="25"/>
    <x v="3"/>
    <x v="43"/>
    <x v="87"/>
    <x v="90"/>
    <x v="92"/>
    <x v="66"/>
    <x v="50"/>
    <x v="1"/>
    <x v="1"/>
  </r>
  <r>
    <x v="5"/>
    <x v="0"/>
    <x v="0"/>
    <x v="2"/>
    <x v="5"/>
    <x v="5"/>
    <x v="3"/>
    <x v="3"/>
    <x v="3"/>
    <x v="3"/>
    <x v="4"/>
    <x v="96"/>
    <x v="88"/>
    <x v="91"/>
    <x v="93"/>
    <x v="85"/>
    <x v="93"/>
    <x v="4"/>
    <x v="21"/>
  </r>
  <r>
    <x v="5"/>
    <x v="0"/>
    <x v="0"/>
    <x v="2"/>
    <x v="5"/>
    <x v="5"/>
    <x v="2"/>
    <x v="2"/>
    <x v="2"/>
    <x v="2"/>
    <x v="5"/>
    <x v="97"/>
    <x v="89"/>
    <x v="92"/>
    <x v="94"/>
    <x v="86"/>
    <x v="94"/>
    <x v="1"/>
    <x v="1"/>
  </r>
  <r>
    <x v="5"/>
    <x v="0"/>
    <x v="0"/>
    <x v="2"/>
    <x v="5"/>
    <x v="5"/>
    <x v="26"/>
    <x v="26"/>
    <x v="26"/>
    <x v="26"/>
    <x v="6"/>
    <x v="98"/>
    <x v="90"/>
    <x v="83"/>
    <x v="95"/>
    <x v="56"/>
    <x v="95"/>
    <x v="1"/>
    <x v="1"/>
  </r>
  <r>
    <x v="5"/>
    <x v="0"/>
    <x v="0"/>
    <x v="2"/>
    <x v="5"/>
    <x v="5"/>
    <x v="27"/>
    <x v="27"/>
    <x v="27"/>
    <x v="27"/>
    <x v="7"/>
    <x v="99"/>
    <x v="91"/>
    <x v="93"/>
    <x v="96"/>
    <x v="87"/>
    <x v="96"/>
    <x v="1"/>
    <x v="1"/>
  </r>
  <r>
    <x v="5"/>
    <x v="0"/>
    <x v="0"/>
    <x v="2"/>
    <x v="5"/>
    <x v="5"/>
    <x v="8"/>
    <x v="8"/>
    <x v="8"/>
    <x v="8"/>
    <x v="8"/>
    <x v="100"/>
    <x v="92"/>
    <x v="94"/>
    <x v="97"/>
    <x v="88"/>
    <x v="97"/>
    <x v="1"/>
    <x v="1"/>
  </r>
  <r>
    <x v="5"/>
    <x v="0"/>
    <x v="0"/>
    <x v="2"/>
    <x v="5"/>
    <x v="5"/>
    <x v="9"/>
    <x v="9"/>
    <x v="9"/>
    <x v="9"/>
    <x v="9"/>
    <x v="101"/>
    <x v="93"/>
    <x v="95"/>
    <x v="98"/>
    <x v="89"/>
    <x v="98"/>
    <x v="1"/>
    <x v="1"/>
  </r>
  <r>
    <x v="5"/>
    <x v="0"/>
    <x v="0"/>
    <x v="2"/>
    <x v="5"/>
    <x v="5"/>
    <x v="10"/>
    <x v="10"/>
    <x v="10"/>
    <x v="10"/>
    <x v="10"/>
    <x v="50"/>
    <x v="94"/>
    <x v="96"/>
    <x v="99"/>
    <x v="90"/>
    <x v="88"/>
    <x v="1"/>
    <x v="1"/>
  </r>
  <r>
    <x v="5"/>
    <x v="0"/>
    <x v="0"/>
    <x v="2"/>
    <x v="5"/>
    <x v="5"/>
    <x v="4"/>
    <x v="4"/>
    <x v="4"/>
    <x v="4"/>
    <x v="11"/>
    <x v="88"/>
    <x v="95"/>
    <x v="97"/>
    <x v="87"/>
    <x v="82"/>
    <x v="99"/>
    <x v="1"/>
    <x v="1"/>
  </r>
  <r>
    <x v="5"/>
    <x v="0"/>
    <x v="0"/>
    <x v="2"/>
    <x v="5"/>
    <x v="5"/>
    <x v="11"/>
    <x v="11"/>
    <x v="11"/>
    <x v="11"/>
    <x v="12"/>
    <x v="102"/>
    <x v="96"/>
    <x v="86"/>
    <x v="100"/>
    <x v="47"/>
    <x v="100"/>
    <x v="1"/>
    <x v="1"/>
  </r>
  <r>
    <x v="5"/>
    <x v="0"/>
    <x v="0"/>
    <x v="2"/>
    <x v="5"/>
    <x v="5"/>
    <x v="16"/>
    <x v="16"/>
    <x v="16"/>
    <x v="16"/>
    <x v="13"/>
    <x v="103"/>
    <x v="97"/>
    <x v="98"/>
    <x v="101"/>
    <x v="64"/>
    <x v="101"/>
    <x v="1"/>
    <x v="1"/>
  </r>
  <r>
    <x v="5"/>
    <x v="0"/>
    <x v="0"/>
    <x v="2"/>
    <x v="5"/>
    <x v="5"/>
    <x v="7"/>
    <x v="7"/>
    <x v="7"/>
    <x v="7"/>
    <x v="13"/>
    <x v="103"/>
    <x v="97"/>
    <x v="99"/>
    <x v="102"/>
    <x v="91"/>
    <x v="90"/>
    <x v="1"/>
    <x v="1"/>
  </r>
  <r>
    <x v="5"/>
    <x v="0"/>
    <x v="0"/>
    <x v="2"/>
    <x v="5"/>
    <x v="5"/>
    <x v="15"/>
    <x v="15"/>
    <x v="15"/>
    <x v="15"/>
    <x v="15"/>
    <x v="71"/>
    <x v="98"/>
    <x v="82"/>
    <x v="103"/>
    <x v="52"/>
    <x v="102"/>
    <x v="1"/>
    <x v="1"/>
  </r>
  <r>
    <x v="5"/>
    <x v="0"/>
    <x v="0"/>
    <x v="2"/>
    <x v="5"/>
    <x v="5"/>
    <x v="12"/>
    <x v="12"/>
    <x v="12"/>
    <x v="12"/>
    <x v="16"/>
    <x v="56"/>
    <x v="14"/>
    <x v="69"/>
    <x v="104"/>
    <x v="92"/>
    <x v="103"/>
    <x v="1"/>
    <x v="1"/>
  </r>
  <r>
    <x v="5"/>
    <x v="0"/>
    <x v="0"/>
    <x v="2"/>
    <x v="5"/>
    <x v="5"/>
    <x v="6"/>
    <x v="6"/>
    <x v="6"/>
    <x v="6"/>
    <x v="17"/>
    <x v="104"/>
    <x v="99"/>
    <x v="38"/>
    <x v="105"/>
    <x v="93"/>
    <x v="104"/>
    <x v="4"/>
    <x v="21"/>
  </r>
  <r>
    <x v="5"/>
    <x v="0"/>
    <x v="0"/>
    <x v="2"/>
    <x v="5"/>
    <x v="5"/>
    <x v="14"/>
    <x v="14"/>
    <x v="14"/>
    <x v="14"/>
    <x v="18"/>
    <x v="57"/>
    <x v="100"/>
    <x v="66"/>
    <x v="106"/>
    <x v="94"/>
    <x v="105"/>
    <x v="1"/>
    <x v="1"/>
  </r>
  <r>
    <x v="5"/>
    <x v="0"/>
    <x v="0"/>
    <x v="2"/>
    <x v="5"/>
    <x v="5"/>
    <x v="28"/>
    <x v="28"/>
    <x v="28"/>
    <x v="28"/>
    <x v="19"/>
    <x v="105"/>
    <x v="101"/>
    <x v="53"/>
    <x v="107"/>
    <x v="94"/>
    <x v="105"/>
    <x v="1"/>
    <x v="1"/>
  </r>
  <r>
    <x v="6"/>
    <x v="0"/>
    <x v="0"/>
    <x v="2"/>
    <x v="6"/>
    <x v="6"/>
    <x v="0"/>
    <x v="0"/>
    <x v="0"/>
    <x v="0"/>
    <x v="0"/>
    <x v="106"/>
    <x v="102"/>
    <x v="100"/>
    <x v="108"/>
    <x v="91"/>
    <x v="39"/>
    <x v="1"/>
    <x v="1"/>
  </r>
  <r>
    <x v="6"/>
    <x v="0"/>
    <x v="0"/>
    <x v="2"/>
    <x v="6"/>
    <x v="6"/>
    <x v="1"/>
    <x v="1"/>
    <x v="1"/>
    <x v="1"/>
    <x v="1"/>
    <x v="107"/>
    <x v="103"/>
    <x v="101"/>
    <x v="109"/>
    <x v="95"/>
    <x v="106"/>
    <x v="1"/>
    <x v="1"/>
  </r>
  <r>
    <x v="6"/>
    <x v="0"/>
    <x v="0"/>
    <x v="2"/>
    <x v="6"/>
    <x v="6"/>
    <x v="3"/>
    <x v="3"/>
    <x v="3"/>
    <x v="3"/>
    <x v="2"/>
    <x v="108"/>
    <x v="104"/>
    <x v="102"/>
    <x v="110"/>
    <x v="96"/>
    <x v="107"/>
    <x v="4"/>
    <x v="22"/>
  </r>
  <r>
    <x v="6"/>
    <x v="0"/>
    <x v="0"/>
    <x v="2"/>
    <x v="6"/>
    <x v="6"/>
    <x v="5"/>
    <x v="5"/>
    <x v="5"/>
    <x v="5"/>
    <x v="3"/>
    <x v="109"/>
    <x v="105"/>
    <x v="93"/>
    <x v="111"/>
    <x v="97"/>
    <x v="108"/>
    <x v="1"/>
    <x v="1"/>
  </r>
  <r>
    <x v="6"/>
    <x v="0"/>
    <x v="0"/>
    <x v="2"/>
    <x v="6"/>
    <x v="6"/>
    <x v="2"/>
    <x v="2"/>
    <x v="2"/>
    <x v="2"/>
    <x v="4"/>
    <x v="110"/>
    <x v="106"/>
    <x v="103"/>
    <x v="112"/>
    <x v="57"/>
    <x v="109"/>
    <x v="1"/>
    <x v="1"/>
  </r>
  <r>
    <x v="6"/>
    <x v="0"/>
    <x v="0"/>
    <x v="2"/>
    <x v="6"/>
    <x v="6"/>
    <x v="4"/>
    <x v="4"/>
    <x v="4"/>
    <x v="4"/>
    <x v="5"/>
    <x v="111"/>
    <x v="107"/>
    <x v="50"/>
    <x v="52"/>
    <x v="98"/>
    <x v="110"/>
    <x v="1"/>
    <x v="1"/>
  </r>
  <r>
    <x v="6"/>
    <x v="0"/>
    <x v="0"/>
    <x v="2"/>
    <x v="6"/>
    <x v="6"/>
    <x v="6"/>
    <x v="6"/>
    <x v="6"/>
    <x v="6"/>
    <x v="6"/>
    <x v="112"/>
    <x v="108"/>
    <x v="104"/>
    <x v="113"/>
    <x v="99"/>
    <x v="111"/>
    <x v="4"/>
    <x v="22"/>
  </r>
  <r>
    <x v="6"/>
    <x v="0"/>
    <x v="0"/>
    <x v="2"/>
    <x v="6"/>
    <x v="6"/>
    <x v="8"/>
    <x v="8"/>
    <x v="8"/>
    <x v="8"/>
    <x v="7"/>
    <x v="113"/>
    <x v="109"/>
    <x v="105"/>
    <x v="114"/>
    <x v="93"/>
    <x v="112"/>
    <x v="1"/>
    <x v="1"/>
  </r>
  <r>
    <x v="6"/>
    <x v="0"/>
    <x v="0"/>
    <x v="2"/>
    <x v="6"/>
    <x v="6"/>
    <x v="7"/>
    <x v="7"/>
    <x v="7"/>
    <x v="7"/>
    <x v="8"/>
    <x v="103"/>
    <x v="110"/>
    <x v="106"/>
    <x v="115"/>
    <x v="94"/>
    <x v="113"/>
    <x v="1"/>
    <x v="1"/>
  </r>
  <r>
    <x v="6"/>
    <x v="0"/>
    <x v="0"/>
    <x v="2"/>
    <x v="6"/>
    <x v="6"/>
    <x v="11"/>
    <x v="11"/>
    <x v="11"/>
    <x v="11"/>
    <x v="9"/>
    <x v="114"/>
    <x v="111"/>
    <x v="97"/>
    <x v="116"/>
    <x v="95"/>
    <x v="106"/>
    <x v="1"/>
    <x v="1"/>
  </r>
  <r>
    <x v="6"/>
    <x v="0"/>
    <x v="0"/>
    <x v="2"/>
    <x v="6"/>
    <x v="6"/>
    <x v="14"/>
    <x v="14"/>
    <x v="14"/>
    <x v="14"/>
    <x v="10"/>
    <x v="115"/>
    <x v="75"/>
    <x v="48"/>
    <x v="117"/>
    <x v="52"/>
    <x v="114"/>
    <x v="1"/>
    <x v="1"/>
  </r>
  <r>
    <x v="6"/>
    <x v="0"/>
    <x v="0"/>
    <x v="2"/>
    <x v="6"/>
    <x v="6"/>
    <x v="10"/>
    <x v="10"/>
    <x v="10"/>
    <x v="10"/>
    <x v="11"/>
    <x v="116"/>
    <x v="112"/>
    <x v="107"/>
    <x v="118"/>
    <x v="100"/>
    <x v="115"/>
    <x v="1"/>
    <x v="1"/>
  </r>
  <r>
    <x v="6"/>
    <x v="0"/>
    <x v="0"/>
    <x v="2"/>
    <x v="6"/>
    <x v="6"/>
    <x v="9"/>
    <x v="9"/>
    <x v="9"/>
    <x v="9"/>
    <x v="12"/>
    <x v="58"/>
    <x v="113"/>
    <x v="50"/>
    <x v="52"/>
    <x v="83"/>
    <x v="116"/>
    <x v="1"/>
    <x v="1"/>
  </r>
  <r>
    <x v="6"/>
    <x v="0"/>
    <x v="0"/>
    <x v="2"/>
    <x v="6"/>
    <x v="6"/>
    <x v="20"/>
    <x v="20"/>
    <x v="20"/>
    <x v="20"/>
    <x v="13"/>
    <x v="74"/>
    <x v="114"/>
    <x v="58"/>
    <x v="119"/>
    <x v="94"/>
    <x v="113"/>
    <x v="7"/>
    <x v="23"/>
  </r>
  <r>
    <x v="6"/>
    <x v="0"/>
    <x v="0"/>
    <x v="2"/>
    <x v="6"/>
    <x v="6"/>
    <x v="25"/>
    <x v="25"/>
    <x v="25"/>
    <x v="25"/>
    <x v="14"/>
    <x v="117"/>
    <x v="48"/>
    <x v="49"/>
    <x v="120"/>
    <x v="101"/>
    <x v="117"/>
    <x v="1"/>
    <x v="1"/>
  </r>
  <r>
    <x v="6"/>
    <x v="0"/>
    <x v="0"/>
    <x v="2"/>
    <x v="6"/>
    <x v="6"/>
    <x v="13"/>
    <x v="13"/>
    <x v="13"/>
    <x v="13"/>
    <x v="14"/>
    <x v="117"/>
    <x v="48"/>
    <x v="68"/>
    <x v="121"/>
    <x v="102"/>
    <x v="118"/>
    <x v="1"/>
    <x v="1"/>
  </r>
  <r>
    <x v="6"/>
    <x v="0"/>
    <x v="0"/>
    <x v="2"/>
    <x v="6"/>
    <x v="6"/>
    <x v="12"/>
    <x v="12"/>
    <x v="12"/>
    <x v="12"/>
    <x v="16"/>
    <x v="76"/>
    <x v="49"/>
    <x v="64"/>
    <x v="122"/>
    <x v="103"/>
    <x v="119"/>
    <x v="1"/>
    <x v="1"/>
  </r>
  <r>
    <x v="6"/>
    <x v="0"/>
    <x v="0"/>
    <x v="2"/>
    <x v="6"/>
    <x v="6"/>
    <x v="27"/>
    <x v="27"/>
    <x v="27"/>
    <x v="27"/>
    <x v="17"/>
    <x v="118"/>
    <x v="115"/>
    <x v="108"/>
    <x v="123"/>
    <x v="77"/>
    <x v="120"/>
    <x v="1"/>
    <x v="1"/>
  </r>
  <r>
    <x v="6"/>
    <x v="0"/>
    <x v="0"/>
    <x v="2"/>
    <x v="6"/>
    <x v="6"/>
    <x v="18"/>
    <x v="18"/>
    <x v="18"/>
    <x v="18"/>
    <x v="18"/>
    <x v="119"/>
    <x v="116"/>
    <x v="39"/>
    <x v="124"/>
    <x v="103"/>
    <x v="119"/>
    <x v="1"/>
    <x v="1"/>
  </r>
  <r>
    <x v="6"/>
    <x v="0"/>
    <x v="0"/>
    <x v="2"/>
    <x v="6"/>
    <x v="6"/>
    <x v="15"/>
    <x v="15"/>
    <x v="15"/>
    <x v="15"/>
    <x v="19"/>
    <x v="120"/>
    <x v="117"/>
    <x v="71"/>
    <x v="125"/>
    <x v="99"/>
    <x v="111"/>
    <x v="1"/>
    <x v="1"/>
  </r>
  <r>
    <x v="7"/>
    <x v="0"/>
    <x v="0"/>
    <x v="2"/>
    <x v="7"/>
    <x v="7"/>
    <x v="1"/>
    <x v="1"/>
    <x v="1"/>
    <x v="1"/>
    <x v="0"/>
    <x v="121"/>
    <x v="118"/>
    <x v="109"/>
    <x v="126"/>
    <x v="54"/>
    <x v="121"/>
    <x v="1"/>
    <x v="1"/>
  </r>
  <r>
    <x v="7"/>
    <x v="0"/>
    <x v="0"/>
    <x v="2"/>
    <x v="7"/>
    <x v="7"/>
    <x v="0"/>
    <x v="0"/>
    <x v="0"/>
    <x v="0"/>
    <x v="1"/>
    <x v="122"/>
    <x v="119"/>
    <x v="110"/>
    <x v="127"/>
    <x v="46"/>
    <x v="56"/>
    <x v="1"/>
    <x v="1"/>
  </r>
  <r>
    <x v="7"/>
    <x v="0"/>
    <x v="0"/>
    <x v="2"/>
    <x v="7"/>
    <x v="7"/>
    <x v="3"/>
    <x v="3"/>
    <x v="3"/>
    <x v="3"/>
    <x v="2"/>
    <x v="123"/>
    <x v="120"/>
    <x v="43"/>
    <x v="128"/>
    <x v="61"/>
    <x v="122"/>
    <x v="8"/>
    <x v="20"/>
  </r>
  <r>
    <x v="7"/>
    <x v="0"/>
    <x v="0"/>
    <x v="2"/>
    <x v="7"/>
    <x v="7"/>
    <x v="6"/>
    <x v="6"/>
    <x v="6"/>
    <x v="6"/>
    <x v="3"/>
    <x v="108"/>
    <x v="121"/>
    <x v="111"/>
    <x v="129"/>
    <x v="60"/>
    <x v="1"/>
    <x v="8"/>
    <x v="20"/>
  </r>
  <r>
    <x v="7"/>
    <x v="0"/>
    <x v="0"/>
    <x v="2"/>
    <x v="7"/>
    <x v="7"/>
    <x v="2"/>
    <x v="2"/>
    <x v="2"/>
    <x v="2"/>
    <x v="4"/>
    <x v="124"/>
    <x v="122"/>
    <x v="112"/>
    <x v="130"/>
    <x v="104"/>
    <x v="123"/>
    <x v="1"/>
    <x v="1"/>
  </r>
  <r>
    <x v="7"/>
    <x v="0"/>
    <x v="0"/>
    <x v="2"/>
    <x v="7"/>
    <x v="7"/>
    <x v="5"/>
    <x v="5"/>
    <x v="5"/>
    <x v="5"/>
    <x v="5"/>
    <x v="125"/>
    <x v="123"/>
    <x v="113"/>
    <x v="131"/>
    <x v="89"/>
    <x v="86"/>
    <x v="1"/>
    <x v="1"/>
  </r>
  <r>
    <x v="7"/>
    <x v="0"/>
    <x v="0"/>
    <x v="2"/>
    <x v="7"/>
    <x v="7"/>
    <x v="4"/>
    <x v="4"/>
    <x v="4"/>
    <x v="4"/>
    <x v="6"/>
    <x v="48"/>
    <x v="124"/>
    <x v="82"/>
    <x v="132"/>
    <x v="105"/>
    <x v="124"/>
    <x v="1"/>
    <x v="1"/>
  </r>
  <r>
    <x v="7"/>
    <x v="0"/>
    <x v="0"/>
    <x v="2"/>
    <x v="7"/>
    <x v="7"/>
    <x v="8"/>
    <x v="8"/>
    <x v="8"/>
    <x v="8"/>
    <x v="7"/>
    <x v="126"/>
    <x v="125"/>
    <x v="114"/>
    <x v="133"/>
    <x v="87"/>
    <x v="125"/>
    <x v="1"/>
    <x v="1"/>
  </r>
  <r>
    <x v="7"/>
    <x v="0"/>
    <x v="0"/>
    <x v="2"/>
    <x v="7"/>
    <x v="7"/>
    <x v="7"/>
    <x v="7"/>
    <x v="7"/>
    <x v="7"/>
    <x v="8"/>
    <x v="127"/>
    <x v="126"/>
    <x v="83"/>
    <x v="134"/>
    <x v="106"/>
    <x v="126"/>
    <x v="1"/>
    <x v="1"/>
  </r>
  <r>
    <x v="7"/>
    <x v="0"/>
    <x v="0"/>
    <x v="2"/>
    <x v="7"/>
    <x v="7"/>
    <x v="10"/>
    <x v="10"/>
    <x v="10"/>
    <x v="10"/>
    <x v="9"/>
    <x v="128"/>
    <x v="127"/>
    <x v="115"/>
    <x v="115"/>
    <x v="59"/>
    <x v="127"/>
    <x v="1"/>
    <x v="1"/>
  </r>
  <r>
    <x v="7"/>
    <x v="0"/>
    <x v="0"/>
    <x v="2"/>
    <x v="7"/>
    <x v="7"/>
    <x v="11"/>
    <x v="11"/>
    <x v="11"/>
    <x v="11"/>
    <x v="10"/>
    <x v="71"/>
    <x v="128"/>
    <x v="50"/>
    <x v="135"/>
    <x v="107"/>
    <x v="128"/>
    <x v="1"/>
    <x v="1"/>
  </r>
  <r>
    <x v="7"/>
    <x v="0"/>
    <x v="0"/>
    <x v="2"/>
    <x v="7"/>
    <x v="7"/>
    <x v="12"/>
    <x v="12"/>
    <x v="12"/>
    <x v="12"/>
    <x v="11"/>
    <x v="72"/>
    <x v="129"/>
    <x v="99"/>
    <x v="136"/>
    <x v="80"/>
    <x v="129"/>
    <x v="1"/>
    <x v="1"/>
  </r>
  <r>
    <x v="7"/>
    <x v="0"/>
    <x v="0"/>
    <x v="2"/>
    <x v="7"/>
    <x v="7"/>
    <x v="14"/>
    <x v="14"/>
    <x v="14"/>
    <x v="14"/>
    <x v="12"/>
    <x v="115"/>
    <x v="45"/>
    <x v="66"/>
    <x v="137"/>
    <x v="56"/>
    <x v="130"/>
    <x v="1"/>
    <x v="1"/>
  </r>
  <r>
    <x v="7"/>
    <x v="0"/>
    <x v="0"/>
    <x v="2"/>
    <x v="7"/>
    <x v="7"/>
    <x v="9"/>
    <x v="9"/>
    <x v="9"/>
    <x v="9"/>
    <x v="13"/>
    <x v="129"/>
    <x v="130"/>
    <x v="97"/>
    <x v="138"/>
    <x v="94"/>
    <x v="131"/>
    <x v="1"/>
    <x v="1"/>
  </r>
  <r>
    <x v="7"/>
    <x v="0"/>
    <x v="0"/>
    <x v="2"/>
    <x v="7"/>
    <x v="7"/>
    <x v="13"/>
    <x v="13"/>
    <x v="13"/>
    <x v="13"/>
    <x v="14"/>
    <x v="73"/>
    <x v="114"/>
    <x v="82"/>
    <x v="132"/>
    <x v="71"/>
    <x v="132"/>
    <x v="1"/>
    <x v="1"/>
  </r>
  <r>
    <x v="7"/>
    <x v="0"/>
    <x v="0"/>
    <x v="2"/>
    <x v="7"/>
    <x v="7"/>
    <x v="20"/>
    <x v="20"/>
    <x v="20"/>
    <x v="20"/>
    <x v="15"/>
    <x v="105"/>
    <x v="131"/>
    <x v="71"/>
    <x v="139"/>
    <x v="57"/>
    <x v="133"/>
    <x v="1"/>
    <x v="1"/>
  </r>
  <r>
    <x v="7"/>
    <x v="0"/>
    <x v="0"/>
    <x v="2"/>
    <x v="7"/>
    <x v="7"/>
    <x v="18"/>
    <x v="18"/>
    <x v="18"/>
    <x v="18"/>
    <x v="16"/>
    <x v="130"/>
    <x v="132"/>
    <x v="50"/>
    <x v="135"/>
    <x v="108"/>
    <x v="134"/>
    <x v="1"/>
    <x v="1"/>
  </r>
  <r>
    <x v="7"/>
    <x v="0"/>
    <x v="0"/>
    <x v="2"/>
    <x v="7"/>
    <x v="7"/>
    <x v="15"/>
    <x v="15"/>
    <x v="15"/>
    <x v="15"/>
    <x v="17"/>
    <x v="120"/>
    <x v="133"/>
    <x v="56"/>
    <x v="140"/>
    <x v="100"/>
    <x v="135"/>
    <x v="1"/>
    <x v="1"/>
  </r>
  <r>
    <x v="7"/>
    <x v="0"/>
    <x v="0"/>
    <x v="2"/>
    <x v="7"/>
    <x v="7"/>
    <x v="29"/>
    <x v="29"/>
    <x v="29"/>
    <x v="29"/>
    <x v="18"/>
    <x v="131"/>
    <x v="134"/>
    <x v="53"/>
    <x v="33"/>
    <x v="87"/>
    <x v="125"/>
    <x v="1"/>
    <x v="1"/>
  </r>
  <r>
    <x v="7"/>
    <x v="0"/>
    <x v="0"/>
    <x v="2"/>
    <x v="7"/>
    <x v="7"/>
    <x v="23"/>
    <x v="23"/>
    <x v="23"/>
    <x v="23"/>
    <x v="18"/>
    <x v="131"/>
    <x v="134"/>
    <x v="58"/>
    <x v="141"/>
    <x v="108"/>
    <x v="134"/>
    <x v="1"/>
    <x v="1"/>
  </r>
  <r>
    <x v="8"/>
    <x v="0"/>
    <x v="0"/>
    <x v="2"/>
    <x v="8"/>
    <x v="8"/>
    <x v="1"/>
    <x v="1"/>
    <x v="1"/>
    <x v="1"/>
    <x v="0"/>
    <x v="132"/>
    <x v="135"/>
    <x v="116"/>
    <x v="142"/>
    <x v="106"/>
    <x v="136"/>
    <x v="1"/>
    <x v="1"/>
  </r>
  <r>
    <x v="8"/>
    <x v="0"/>
    <x v="0"/>
    <x v="2"/>
    <x v="8"/>
    <x v="8"/>
    <x v="0"/>
    <x v="0"/>
    <x v="0"/>
    <x v="0"/>
    <x v="1"/>
    <x v="133"/>
    <x v="136"/>
    <x v="117"/>
    <x v="143"/>
    <x v="71"/>
    <x v="55"/>
    <x v="1"/>
    <x v="1"/>
  </r>
  <r>
    <x v="8"/>
    <x v="0"/>
    <x v="0"/>
    <x v="2"/>
    <x v="8"/>
    <x v="8"/>
    <x v="6"/>
    <x v="6"/>
    <x v="6"/>
    <x v="6"/>
    <x v="2"/>
    <x v="134"/>
    <x v="137"/>
    <x v="118"/>
    <x v="144"/>
    <x v="108"/>
    <x v="137"/>
    <x v="4"/>
    <x v="21"/>
  </r>
  <r>
    <x v="8"/>
    <x v="0"/>
    <x v="0"/>
    <x v="2"/>
    <x v="8"/>
    <x v="8"/>
    <x v="3"/>
    <x v="3"/>
    <x v="3"/>
    <x v="3"/>
    <x v="3"/>
    <x v="135"/>
    <x v="138"/>
    <x v="119"/>
    <x v="145"/>
    <x v="109"/>
    <x v="138"/>
    <x v="1"/>
    <x v="1"/>
  </r>
  <r>
    <x v="8"/>
    <x v="0"/>
    <x v="0"/>
    <x v="2"/>
    <x v="8"/>
    <x v="8"/>
    <x v="2"/>
    <x v="2"/>
    <x v="2"/>
    <x v="2"/>
    <x v="4"/>
    <x v="136"/>
    <x v="139"/>
    <x v="120"/>
    <x v="146"/>
    <x v="78"/>
    <x v="139"/>
    <x v="1"/>
    <x v="1"/>
  </r>
  <r>
    <x v="8"/>
    <x v="0"/>
    <x v="0"/>
    <x v="2"/>
    <x v="8"/>
    <x v="8"/>
    <x v="4"/>
    <x v="4"/>
    <x v="4"/>
    <x v="4"/>
    <x v="5"/>
    <x v="137"/>
    <x v="88"/>
    <x v="121"/>
    <x v="147"/>
    <x v="110"/>
    <x v="140"/>
    <x v="1"/>
    <x v="1"/>
  </r>
  <r>
    <x v="8"/>
    <x v="0"/>
    <x v="0"/>
    <x v="2"/>
    <x v="8"/>
    <x v="8"/>
    <x v="5"/>
    <x v="5"/>
    <x v="5"/>
    <x v="5"/>
    <x v="6"/>
    <x v="138"/>
    <x v="140"/>
    <x v="122"/>
    <x v="110"/>
    <x v="54"/>
    <x v="141"/>
    <x v="1"/>
    <x v="1"/>
  </r>
  <r>
    <x v="8"/>
    <x v="0"/>
    <x v="0"/>
    <x v="2"/>
    <x v="8"/>
    <x v="8"/>
    <x v="8"/>
    <x v="8"/>
    <x v="8"/>
    <x v="8"/>
    <x v="7"/>
    <x v="111"/>
    <x v="141"/>
    <x v="123"/>
    <x v="148"/>
    <x v="77"/>
    <x v="142"/>
    <x v="1"/>
    <x v="1"/>
  </r>
  <r>
    <x v="8"/>
    <x v="0"/>
    <x v="0"/>
    <x v="2"/>
    <x v="8"/>
    <x v="8"/>
    <x v="7"/>
    <x v="7"/>
    <x v="7"/>
    <x v="7"/>
    <x v="8"/>
    <x v="139"/>
    <x v="7"/>
    <x v="86"/>
    <x v="123"/>
    <x v="86"/>
    <x v="143"/>
    <x v="1"/>
    <x v="1"/>
  </r>
  <r>
    <x v="8"/>
    <x v="0"/>
    <x v="0"/>
    <x v="2"/>
    <x v="8"/>
    <x v="8"/>
    <x v="9"/>
    <x v="9"/>
    <x v="9"/>
    <x v="9"/>
    <x v="9"/>
    <x v="87"/>
    <x v="142"/>
    <x v="49"/>
    <x v="149"/>
    <x v="111"/>
    <x v="144"/>
    <x v="1"/>
    <x v="1"/>
  </r>
  <r>
    <x v="8"/>
    <x v="0"/>
    <x v="0"/>
    <x v="2"/>
    <x v="8"/>
    <x v="8"/>
    <x v="11"/>
    <x v="11"/>
    <x v="11"/>
    <x v="11"/>
    <x v="10"/>
    <x v="140"/>
    <x v="143"/>
    <x v="82"/>
    <x v="150"/>
    <x v="112"/>
    <x v="145"/>
    <x v="1"/>
    <x v="1"/>
  </r>
  <r>
    <x v="8"/>
    <x v="0"/>
    <x v="0"/>
    <x v="2"/>
    <x v="8"/>
    <x v="8"/>
    <x v="10"/>
    <x v="10"/>
    <x v="10"/>
    <x v="10"/>
    <x v="11"/>
    <x v="141"/>
    <x v="10"/>
    <x v="98"/>
    <x v="151"/>
    <x v="55"/>
    <x v="146"/>
    <x v="1"/>
    <x v="1"/>
  </r>
  <r>
    <x v="8"/>
    <x v="0"/>
    <x v="0"/>
    <x v="2"/>
    <x v="8"/>
    <x v="8"/>
    <x v="13"/>
    <x v="13"/>
    <x v="13"/>
    <x v="13"/>
    <x v="12"/>
    <x v="142"/>
    <x v="144"/>
    <x v="124"/>
    <x v="152"/>
    <x v="66"/>
    <x v="38"/>
    <x v="1"/>
    <x v="1"/>
  </r>
  <r>
    <x v="8"/>
    <x v="0"/>
    <x v="0"/>
    <x v="2"/>
    <x v="8"/>
    <x v="8"/>
    <x v="20"/>
    <x v="20"/>
    <x v="20"/>
    <x v="20"/>
    <x v="13"/>
    <x v="143"/>
    <x v="145"/>
    <x v="71"/>
    <x v="125"/>
    <x v="97"/>
    <x v="147"/>
    <x v="4"/>
    <x v="21"/>
  </r>
  <r>
    <x v="8"/>
    <x v="0"/>
    <x v="0"/>
    <x v="2"/>
    <x v="8"/>
    <x v="8"/>
    <x v="18"/>
    <x v="18"/>
    <x v="18"/>
    <x v="18"/>
    <x v="14"/>
    <x v="58"/>
    <x v="146"/>
    <x v="39"/>
    <x v="28"/>
    <x v="68"/>
    <x v="75"/>
    <x v="1"/>
    <x v="1"/>
  </r>
  <r>
    <x v="8"/>
    <x v="0"/>
    <x v="0"/>
    <x v="2"/>
    <x v="8"/>
    <x v="8"/>
    <x v="17"/>
    <x v="17"/>
    <x v="17"/>
    <x v="17"/>
    <x v="15"/>
    <x v="144"/>
    <x v="99"/>
    <x v="56"/>
    <x v="15"/>
    <x v="55"/>
    <x v="146"/>
    <x v="1"/>
    <x v="1"/>
  </r>
  <r>
    <x v="8"/>
    <x v="0"/>
    <x v="0"/>
    <x v="2"/>
    <x v="8"/>
    <x v="8"/>
    <x v="15"/>
    <x v="15"/>
    <x v="15"/>
    <x v="15"/>
    <x v="16"/>
    <x v="75"/>
    <x v="147"/>
    <x v="72"/>
    <x v="153"/>
    <x v="113"/>
    <x v="0"/>
    <x v="1"/>
    <x v="1"/>
  </r>
  <r>
    <x v="8"/>
    <x v="0"/>
    <x v="0"/>
    <x v="2"/>
    <x v="8"/>
    <x v="8"/>
    <x v="12"/>
    <x v="12"/>
    <x v="12"/>
    <x v="12"/>
    <x v="16"/>
    <x v="75"/>
    <x v="147"/>
    <x v="125"/>
    <x v="154"/>
    <x v="80"/>
    <x v="148"/>
    <x v="1"/>
    <x v="1"/>
  </r>
  <r>
    <x v="8"/>
    <x v="0"/>
    <x v="0"/>
    <x v="2"/>
    <x v="8"/>
    <x v="8"/>
    <x v="30"/>
    <x v="30"/>
    <x v="30"/>
    <x v="30"/>
    <x v="18"/>
    <x v="145"/>
    <x v="148"/>
    <x v="70"/>
    <x v="155"/>
    <x v="114"/>
    <x v="149"/>
    <x v="1"/>
    <x v="1"/>
  </r>
  <r>
    <x v="8"/>
    <x v="0"/>
    <x v="0"/>
    <x v="2"/>
    <x v="8"/>
    <x v="8"/>
    <x v="14"/>
    <x v="14"/>
    <x v="14"/>
    <x v="14"/>
    <x v="19"/>
    <x v="118"/>
    <x v="116"/>
    <x v="55"/>
    <x v="17"/>
    <x v="102"/>
    <x v="150"/>
    <x v="1"/>
    <x v="1"/>
  </r>
  <r>
    <x v="8"/>
    <x v="0"/>
    <x v="0"/>
    <x v="2"/>
    <x v="8"/>
    <x v="8"/>
    <x v="31"/>
    <x v="31"/>
    <x v="31"/>
    <x v="31"/>
    <x v="19"/>
    <x v="118"/>
    <x v="116"/>
    <x v="66"/>
    <x v="156"/>
    <x v="100"/>
    <x v="151"/>
    <x v="1"/>
    <x v="1"/>
  </r>
  <r>
    <x v="9"/>
    <x v="0"/>
    <x v="0"/>
    <x v="2"/>
    <x v="9"/>
    <x v="9"/>
    <x v="0"/>
    <x v="0"/>
    <x v="0"/>
    <x v="0"/>
    <x v="0"/>
    <x v="146"/>
    <x v="149"/>
    <x v="126"/>
    <x v="157"/>
    <x v="115"/>
    <x v="152"/>
    <x v="1"/>
    <x v="1"/>
  </r>
  <r>
    <x v="9"/>
    <x v="0"/>
    <x v="0"/>
    <x v="2"/>
    <x v="9"/>
    <x v="9"/>
    <x v="12"/>
    <x v="12"/>
    <x v="12"/>
    <x v="12"/>
    <x v="1"/>
    <x v="147"/>
    <x v="150"/>
    <x v="127"/>
    <x v="158"/>
    <x v="116"/>
    <x v="153"/>
    <x v="8"/>
    <x v="24"/>
  </r>
  <r>
    <x v="9"/>
    <x v="0"/>
    <x v="0"/>
    <x v="2"/>
    <x v="9"/>
    <x v="9"/>
    <x v="7"/>
    <x v="7"/>
    <x v="7"/>
    <x v="7"/>
    <x v="2"/>
    <x v="148"/>
    <x v="151"/>
    <x v="128"/>
    <x v="159"/>
    <x v="117"/>
    <x v="154"/>
    <x v="1"/>
    <x v="1"/>
  </r>
  <r>
    <x v="9"/>
    <x v="0"/>
    <x v="0"/>
    <x v="2"/>
    <x v="9"/>
    <x v="9"/>
    <x v="3"/>
    <x v="3"/>
    <x v="3"/>
    <x v="3"/>
    <x v="3"/>
    <x v="149"/>
    <x v="71"/>
    <x v="129"/>
    <x v="160"/>
    <x v="118"/>
    <x v="155"/>
    <x v="10"/>
    <x v="25"/>
  </r>
  <r>
    <x v="9"/>
    <x v="0"/>
    <x v="0"/>
    <x v="2"/>
    <x v="9"/>
    <x v="9"/>
    <x v="2"/>
    <x v="2"/>
    <x v="2"/>
    <x v="2"/>
    <x v="4"/>
    <x v="150"/>
    <x v="3"/>
    <x v="110"/>
    <x v="161"/>
    <x v="119"/>
    <x v="110"/>
    <x v="4"/>
    <x v="26"/>
  </r>
  <r>
    <x v="9"/>
    <x v="0"/>
    <x v="0"/>
    <x v="2"/>
    <x v="9"/>
    <x v="9"/>
    <x v="1"/>
    <x v="1"/>
    <x v="1"/>
    <x v="1"/>
    <x v="5"/>
    <x v="151"/>
    <x v="152"/>
    <x v="130"/>
    <x v="162"/>
    <x v="120"/>
    <x v="156"/>
    <x v="1"/>
    <x v="1"/>
  </r>
  <r>
    <x v="9"/>
    <x v="0"/>
    <x v="0"/>
    <x v="2"/>
    <x v="9"/>
    <x v="9"/>
    <x v="5"/>
    <x v="5"/>
    <x v="5"/>
    <x v="5"/>
    <x v="6"/>
    <x v="152"/>
    <x v="153"/>
    <x v="131"/>
    <x v="163"/>
    <x v="73"/>
    <x v="58"/>
    <x v="4"/>
    <x v="26"/>
  </r>
  <r>
    <x v="9"/>
    <x v="0"/>
    <x v="0"/>
    <x v="2"/>
    <x v="9"/>
    <x v="9"/>
    <x v="8"/>
    <x v="8"/>
    <x v="8"/>
    <x v="8"/>
    <x v="7"/>
    <x v="82"/>
    <x v="154"/>
    <x v="19"/>
    <x v="164"/>
    <x v="121"/>
    <x v="157"/>
    <x v="1"/>
    <x v="1"/>
  </r>
  <r>
    <x v="9"/>
    <x v="0"/>
    <x v="0"/>
    <x v="2"/>
    <x v="9"/>
    <x v="9"/>
    <x v="13"/>
    <x v="13"/>
    <x v="13"/>
    <x v="13"/>
    <x v="8"/>
    <x v="61"/>
    <x v="63"/>
    <x v="132"/>
    <x v="165"/>
    <x v="122"/>
    <x v="158"/>
    <x v="4"/>
    <x v="26"/>
  </r>
  <r>
    <x v="9"/>
    <x v="0"/>
    <x v="0"/>
    <x v="2"/>
    <x v="9"/>
    <x v="9"/>
    <x v="6"/>
    <x v="6"/>
    <x v="6"/>
    <x v="6"/>
    <x v="9"/>
    <x v="153"/>
    <x v="97"/>
    <x v="133"/>
    <x v="166"/>
    <x v="123"/>
    <x v="159"/>
    <x v="7"/>
    <x v="27"/>
  </r>
  <r>
    <x v="9"/>
    <x v="0"/>
    <x v="0"/>
    <x v="2"/>
    <x v="9"/>
    <x v="9"/>
    <x v="14"/>
    <x v="14"/>
    <x v="14"/>
    <x v="14"/>
    <x v="10"/>
    <x v="154"/>
    <x v="113"/>
    <x v="134"/>
    <x v="167"/>
    <x v="124"/>
    <x v="160"/>
    <x v="4"/>
    <x v="26"/>
  </r>
  <r>
    <x v="9"/>
    <x v="0"/>
    <x v="0"/>
    <x v="2"/>
    <x v="9"/>
    <x v="9"/>
    <x v="17"/>
    <x v="17"/>
    <x v="17"/>
    <x v="17"/>
    <x v="11"/>
    <x v="155"/>
    <x v="33"/>
    <x v="107"/>
    <x v="14"/>
    <x v="125"/>
    <x v="24"/>
    <x v="1"/>
    <x v="1"/>
  </r>
  <r>
    <x v="9"/>
    <x v="0"/>
    <x v="0"/>
    <x v="2"/>
    <x v="9"/>
    <x v="9"/>
    <x v="4"/>
    <x v="4"/>
    <x v="4"/>
    <x v="4"/>
    <x v="12"/>
    <x v="156"/>
    <x v="155"/>
    <x v="55"/>
    <x v="168"/>
    <x v="126"/>
    <x v="161"/>
    <x v="4"/>
    <x v="26"/>
  </r>
  <r>
    <x v="9"/>
    <x v="0"/>
    <x v="0"/>
    <x v="2"/>
    <x v="9"/>
    <x v="9"/>
    <x v="23"/>
    <x v="23"/>
    <x v="23"/>
    <x v="23"/>
    <x v="13"/>
    <x v="157"/>
    <x v="49"/>
    <x v="97"/>
    <x v="36"/>
    <x v="127"/>
    <x v="162"/>
    <x v="8"/>
    <x v="24"/>
  </r>
  <r>
    <x v="9"/>
    <x v="0"/>
    <x v="0"/>
    <x v="2"/>
    <x v="9"/>
    <x v="9"/>
    <x v="19"/>
    <x v="19"/>
    <x v="19"/>
    <x v="19"/>
    <x v="14"/>
    <x v="158"/>
    <x v="156"/>
    <x v="135"/>
    <x v="39"/>
    <x v="29"/>
    <x v="163"/>
    <x v="1"/>
    <x v="1"/>
  </r>
  <r>
    <x v="9"/>
    <x v="0"/>
    <x v="0"/>
    <x v="2"/>
    <x v="9"/>
    <x v="9"/>
    <x v="18"/>
    <x v="18"/>
    <x v="18"/>
    <x v="18"/>
    <x v="15"/>
    <x v="159"/>
    <x v="157"/>
    <x v="136"/>
    <x v="169"/>
    <x v="105"/>
    <x v="164"/>
    <x v="1"/>
    <x v="1"/>
  </r>
  <r>
    <x v="9"/>
    <x v="0"/>
    <x v="0"/>
    <x v="2"/>
    <x v="9"/>
    <x v="9"/>
    <x v="11"/>
    <x v="11"/>
    <x v="11"/>
    <x v="11"/>
    <x v="16"/>
    <x v="126"/>
    <x v="158"/>
    <x v="137"/>
    <x v="170"/>
    <x v="96"/>
    <x v="165"/>
    <x v="1"/>
    <x v="1"/>
  </r>
  <r>
    <x v="9"/>
    <x v="0"/>
    <x v="0"/>
    <x v="2"/>
    <x v="9"/>
    <x v="9"/>
    <x v="21"/>
    <x v="21"/>
    <x v="21"/>
    <x v="21"/>
    <x v="17"/>
    <x v="160"/>
    <x v="117"/>
    <x v="82"/>
    <x v="171"/>
    <x v="41"/>
    <x v="166"/>
    <x v="1"/>
    <x v="1"/>
  </r>
  <r>
    <x v="9"/>
    <x v="0"/>
    <x v="0"/>
    <x v="2"/>
    <x v="9"/>
    <x v="9"/>
    <x v="28"/>
    <x v="28"/>
    <x v="28"/>
    <x v="28"/>
    <x v="18"/>
    <x v="98"/>
    <x v="159"/>
    <x v="84"/>
    <x v="172"/>
    <x v="128"/>
    <x v="167"/>
    <x v="1"/>
    <x v="1"/>
  </r>
  <r>
    <x v="9"/>
    <x v="0"/>
    <x v="0"/>
    <x v="2"/>
    <x v="9"/>
    <x v="9"/>
    <x v="15"/>
    <x v="15"/>
    <x v="15"/>
    <x v="15"/>
    <x v="19"/>
    <x v="161"/>
    <x v="160"/>
    <x v="56"/>
    <x v="173"/>
    <x v="123"/>
    <x v="159"/>
    <x v="1"/>
    <x v="1"/>
  </r>
  <r>
    <x v="10"/>
    <x v="0"/>
    <x v="0"/>
    <x v="2"/>
    <x v="10"/>
    <x v="10"/>
    <x v="3"/>
    <x v="3"/>
    <x v="3"/>
    <x v="3"/>
    <x v="0"/>
    <x v="162"/>
    <x v="161"/>
    <x v="138"/>
    <x v="174"/>
    <x v="129"/>
    <x v="168"/>
    <x v="1"/>
    <x v="1"/>
  </r>
  <r>
    <x v="10"/>
    <x v="0"/>
    <x v="0"/>
    <x v="2"/>
    <x v="10"/>
    <x v="10"/>
    <x v="1"/>
    <x v="1"/>
    <x v="1"/>
    <x v="1"/>
    <x v="1"/>
    <x v="163"/>
    <x v="162"/>
    <x v="139"/>
    <x v="175"/>
    <x v="89"/>
    <x v="169"/>
    <x v="1"/>
    <x v="1"/>
  </r>
  <r>
    <x v="10"/>
    <x v="0"/>
    <x v="0"/>
    <x v="2"/>
    <x v="10"/>
    <x v="10"/>
    <x v="4"/>
    <x v="4"/>
    <x v="4"/>
    <x v="4"/>
    <x v="2"/>
    <x v="164"/>
    <x v="163"/>
    <x v="140"/>
    <x v="176"/>
    <x v="130"/>
    <x v="170"/>
    <x v="1"/>
    <x v="1"/>
  </r>
  <r>
    <x v="10"/>
    <x v="0"/>
    <x v="0"/>
    <x v="2"/>
    <x v="10"/>
    <x v="10"/>
    <x v="0"/>
    <x v="0"/>
    <x v="0"/>
    <x v="0"/>
    <x v="3"/>
    <x v="165"/>
    <x v="164"/>
    <x v="141"/>
    <x v="177"/>
    <x v="83"/>
    <x v="171"/>
    <x v="1"/>
    <x v="1"/>
  </r>
  <r>
    <x v="10"/>
    <x v="0"/>
    <x v="0"/>
    <x v="2"/>
    <x v="10"/>
    <x v="10"/>
    <x v="2"/>
    <x v="2"/>
    <x v="2"/>
    <x v="2"/>
    <x v="4"/>
    <x v="166"/>
    <x v="165"/>
    <x v="142"/>
    <x v="178"/>
    <x v="78"/>
    <x v="172"/>
    <x v="1"/>
    <x v="1"/>
  </r>
  <r>
    <x v="10"/>
    <x v="0"/>
    <x v="0"/>
    <x v="2"/>
    <x v="10"/>
    <x v="10"/>
    <x v="6"/>
    <x v="6"/>
    <x v="6"/>
    <x v="6"/>
    <x v="5"/>
    <x v="49"/>
    <x v="166"/>
    <x v="92"/>
    <x v="179"/>
    <x v="91"/>
    <x v="173"/>
    <x v="1"/>
    <x v="1"/>
  </r>
  <r>
    <x v="10"/>
    <x v="0"/>
    <x v="0"/>
    <x v="2"/>
    <x v="10"/>
    <x v="10"/>
    <x v="10"/>
    <x v="10"/>
    <x v="10"/>
    <x v="10"/>
    <x v="6"/>
    <x v="110"/>
    <x v="167"/>
    <x v="143"/>
    <x v="180"/>
    <x v="54"/>
    <x v="174"/>
    <x v="1"/>
    <x v="1"/>
  </r>
  <r>
    <x v="10"/>
    <x v="0"/>
    <x v="0"/>
    <x v="2"/>
    <x v="10"/>
    <x v="10"/>
    <x v="9"/>
    <x v="9"/>
    <x v="9"/>
    <x v="9"/>
    <x v="7"/>
    <x v="84"/>
    <x v="168"/>
    <x v="51"/>
    <x v="181"/>
    <x v="131"/>
    <x v="175"/>
    <x v="1"/>
    <x v="1"/>
  </r>
  <r>
    <x v="10"/>
    <x v="0"/>
    <x v="0"/>
    <x v="2"/>
    <x v="10"/>
    <x v="10"/>
    <x v="11"/>
    <x v="11"/>
    <x v="11"/>
    <x v="11"/>
    <x v="8"/>
    <x v="85"/>
    <x v="43"/>
    <x v="64"/>
    <x v="182"/>
    <x v="132"/>
    <x v="176"/>
    <x v="1"/>
    <x v="1"/>
  </r>
  <r>
    <x v="10"/>
    <x v="0"/>
    <x v="0"/>
    <x v="2"/>
    <x v="10"/>
    <x v="10"/>
    <x v="5"/>
    <x v="5"/>
    <x v="5"/>
    <x v="5"/>
    <x v="9"/>
    <x v="86"/>
    <x v="169"/>
    <x v="136"/>
    <x v="183"/>
    <x v="58"/>
    <x v="0"/>
    <x v="4"/>
    <x v="20"/>
  </r>
  <r>
    <x v="10"/>
    <x v="0"/>
    <x v="0"/>
    <x v="2"/>
    <x v="10"/>
    <x v="10"/>
    <x v="8"/>
    <x v="8"/>
    <x v="8"/>
    <x v="8"/>
    <x v="10"/>
    <x v="50"/>
    <x v="170"/>
    <x v="132"/>
    <x v="184"/>
    <x v="101"/>
    <x v="177"/>
    <x v="1"/>
    <x v="1"/>
  </r>
  <r>
    <x v="10"/>
    <x v="0"/>
    <x v="0"/>
    <x v="2"/>
    <x v="10"/>
    <x v="10"/>
    <x v="15"/>
    <x v="15"/>
    <x v="15"/>
    <x v="15"/>
    <x v="11"/>
    <x v="102"/>
    <x v="171"/>
    <x v="72"/>
    <x v="185"/>
    <x v="62"/>
    <x v="178"/>
    <x v="1"/>
    <x v="1"/>
  </r>
  <r>
    <x v="10"/>
    <x v="0"/>
    <x v="0"/>
    <x v="2"/>
    <x v="10"/>
    <x v="10"/>
    <x v="13"/>
    <x v="13"/>
    <x v="13"/>
    <x v="13"/>
    <x v="12"/>
    <x v="90"/>
    <x v="172"/>
    <x v="108"/>
    <x v="186"/>
    <x v="89"/>
    <x v="169"/>
    <x v="1"/>
    <x v="1"/>
  </r>
  <r>
    <x v="10"/>
    <x v="0"/>
    <x v="0"/>
    <x v="2"/>
    <x v="10"/>
    <x v="10"/>
    <x v="32"/>
    <x v="32"/>
    <x v="32"/>
    <x v="32"/>
    <x v="13"/>
    <x v="167"/>
    <x v="173"/>
    <x v="144"/>
    <x v="187"/>
    <x v="133"/>
    <x v="179"/>
    <x v="1"/>
    <x v="1"/>
  </r>
  <r>
    <x v="10"/>
    <x v="0"/>
    <x v="0"/>
    <x v="2"/>
    <x v="10"/>
    <x v="10"/>
    <x v="16"/>
    <x v="16"/>
    <x v="16"/>
    <x v="16"/>
    <x v="14"/>
    <x v="53"/>
    <x v="130"/>
    <x v="108"/>
    <x v="186"/>
    <x v="58"/>
    <x v="0"/>
    <x v="1"/>
    <x v="1"/>
  </r>
  <r>
    <x v="10"/>
    <x v="0"/>
    <x v="0"/>
    <x v="2"/>
    <x v="10"/>
    <x v="10"/>
    <x v="7"/>
    <x v="7"/>
    <x v="7"/>
    <x v="7"/>
    <x v="15"/>
    <x v="91"/>
    <x v="174"/>
    <x v="97"/>
    <x v="188"/>
    <x v="58"/>
    <x v="0"/>
    <x v="1"/>
    <x v="1"/>
  </r>
  <r>
    <x v="10"/>
    <x v="0"/>
    <x v="0"/>
    <x v="2"/>
    <x v="10"/>
    <x v="10"/>
    <x v="20"/>
    <x v="20"/>
    <x v="20"/>
    <x v="20"/>
    <x v="16"/>
    <x v="92"/>
    <x v="175"/>
    <x v="145"/>
    <x v="189"/>
    <x v="82"/>
    <x v="180"/>
    <x v="1"/>
    <x v="1"/>
  </r>
  <r>
    <x v="10"/>
    <x v="0"/>
    <x v="0"/>
    <x v="2"/>
    <x v="10"/>
    <x v="10"/>
    <x v="26"/>
    <x v="26"/>
    <x v="26"/>
    <x v="26"/>
    <x v="17"/>
    <x v="57"/>
    <x v="81"/>
    <x v="146"/>
    <x v="88"/>
    <x v="64"/>
    <x v="181"/>
    <x v="1"/>
    <x v="1"/>
  </r>
  <r>
    <x v="10"/>
    <x v="0"/>
    <x v="0"/>
    <x v="2"/>
    <x v="10"/>
    <x v="10"/>
    <x v="19"/>
    <x v="19"/>
    <x v="19"/>
    <x v="19"/>
    <x v="17"/>
    <x v="57"/>
    <x v="81"/>
    <x v="74"/>
    <x v="190"/>
    <x v="97"/>
    <x v="15"/>
    <x v="1"/>
    <x v="1"/>
  </r>
  <r>
    <x v="10"/>
    <x v="0"/>
    <x v="0"/>
    <x v="2"/>
    <x v="10"/>
    <x v="10"/>
    <x v="12"/>
    <x v="12"/>
    <x v="12"/>
    <x v="12"/>
    <x v="19"/>
    <x v="143"/>
    <x v="176"/>
    <x v="81"/>
    <x v="32"/>
    <x v="100"/>
    <x v="119"/>
    <x v="1"/>
    <x v="1"/>
  </r>
  <r>
    <x v="11"/>
    <x v="0"/>
    <x v="0"/>
    <x v="3"/>
    <x v="11"/>
    <x v="11"/>
    <x v="0"/>
    <x v="0"/>
    <x v="0"/>
    <x v="0"/>
    <x v="0"/>
    <x v="168"/>
    <x v="177"/>
    <x v="147"/>
    <x v="191"/>
    <x v="134"/>
    <x v="182"/>
    <x v="4"/>
    <x v="28"/>
  </r>
  <r>
    <x v="11"/>
    <x v="0"/>
    <x v="0"/>
    <x v="3"/>
    <x v="11"/>
    <x v="11"/>
    <x v="1"/>
    <x v="1"/>
    <x v="1"/>
    <x v="1"/>
    <x v="1"/>
    <x v="169"/>
    <x v="178"/>
    <x v="148"/>
    <x v="192"/>
    <x v="135"/>
    <x v="183"/>
    <x v="1"/>
    <x v="1"/>
  </r>
  <r>
    <x v="11"/>
    <x v="0"/>
    <x v="0"/>
    <x v="3"/>
    <x v="11"/>
    <x v="11"/>
    <x v="2"/>
    <x v="2"/>
    <x v="2"/>
    <x v="2"/>
    <x v="2"/>
    <x v="170"/>
    <x v="179"/>
    <x v="149"/>
    <x v="193"/>
    <x v="136"/>
    <x v="184"/>
    <x v="1"/>
    <x v="1"/>
  </r>
  <r>
    <x v="11"/>
    <x v="0"/>
    <x v="0"/>
    <x v="3"/>
    <x v="11"/>
    <x v="11"/>
    <x v="3"/>
    <x v="3"/>
    <x v="3"/>
    <x v="3"/>
    <x v="3"/>
    <x v="171"/>
    <x v="180"/>
    <x v="150"/>
    <x v="194"/>
    <x v="137"/>
    <x v="67"/>
    <x v="10"/>
    <x v="29"/>
  </r>
  <r>
    <x v="11"/>
    <x v="0"/>
    <x v="0"/>
    <x v="3"/>
    <x v="11"/>
    <x v="11"/>
    <x v="4"/>
    <x v="4"/>
    <x v="4"/>
    <x v="4"/>
    <x v="4"/>
    <x v="172"/>
    <x v="181"/>
    <x v="151"/>
    <x v="151"/>
    <x v="138"/>
    <x v="185"/>
    <x v="1"/>
    <x v="1"/>
  </r>
  <r>
    <x v="11"/>
    <x v="0"/>
    <x v="0"/>
    <x v="3"/>
    <x v="11"/>
    <x v="11"/>
    <x v="5"/>
    <x v="5"/>
    <x v="5"/>
    <x v="5"/>
    <x v="5"/>
    <x v="173"/>
    <x v="182"/>
    <x v="152"/>
    <x v="184"/>
    <x v="139"/>
    <x v="186"/>
    <x v="1"/>
    <x v="1"/>
  </r>
  <r>
    <x v="11"/>
    <x v="0"/>
    <x v="0"/>
    <x v="3"/>
    <x v="11"/>
    <x v="11"/>
    <x v="6"/>
    <x v="6"/>
    <x v="6"/>
    <x v="6"/>
    <x v="6"/>
    <x v="174"/>
    <x v="183"/>
    <x v="153"/>
    <x v="195"/>
    <x v="140"/>
    <x v="187"/>
    <x v="10"/>
    <x v="29"/>
  </r>
  <r>
    <x v="11"/>
    <x v="0"/>
    <x v="0"/>
    <x v="3"/>
    <x v="11"/>
    <x v="11"/>
    <x v="7"/>
    <x v="7"/>
    <x v="7"/>
    <x v="7"/>
    <x v="7"/>
    <x v="175"/>
    <x v="184"/>
    <x v="28"/>
    <x v="196"/>
    <x v="141"/>
    <x v="188"/>
    <x v="1"/>
    <x v="1"/>
  </r>
  <r>
    <x v="11"/>
    <x v="0"/>
    <x v="0"/>
    <x v="3"/>
    <x v="11"/>
    <x v="11"/>
    <x v="11"/>
    <x v="11"/>
    <x v="11"/>
    <x v="11"/>
    <x v="8"/>
    <x v="176"/>
    <x v="185"/>
    <x v="154"/>
    <x v="197"/>
    <x v="37"/>
    <x v="189"/>
    <x v="1"/>
    <x v="1"/>
  </r>
  <r>
    <x v="11"/>
    <x v="0"/>
    <x v="0"/>
    <x v="3"/>
    <x v="11"/>
    <x v="11"/>
    <x v="10"/>
    <x v="10"/>
    <x v="10"/>
    <x v="10"/>
    <x v="9"/>
    <x v="177"/>
    <x v="186"/>
    <x v="155"/>
    <x v="198"/>
    <x v="61"/>
    <x v="55"/>
    <x v="1"/>
    <x v="1"/>
  </r>
  <r>
    <x v="11"/>
    <x v="0"/>
    <x v="0"/>
    <x v="3"/>
    <x v="11"/>
    <x v="11"/>
    <x v="9"/>
    <x v="9"/>
    <x v="9"/>
    <x v="9"/>
    <x v="10"/>
    <x v="178"/>
    <x v="187"/>
    <x v="156"/>
    <x v="199"/>
    <x v="142"/>
    <x v="190"/>
    <x v="1"/>
    <x v="1"/>
  </r>
  <r>
    <x v="11"/>
    <x v="0"/>
    <x v="0"/>
    <x v="3"/>
    <x v="11"/>
    <x v="11"/>
    <x v="8"/>
    <x v="8"/>
    <x v="8"/>
    <x v="8"/>
    <x v="11"/>
    <x v="179"/>
    <x v="188"/>
    <x v="157"/>
    <x v="64"/>
    <x v="68"/>
    <x v="191"/>
    <x v="4"/>
    <x v="28"/>
  </r>
  <r>
    <x v="11"/>
    <x v="0"/>
    <x v="0"/>
    <x v="3"/>
    <x v="11"/>
    <x v="11"/>
    <x v="12"/>
    <x v="12"/>
    <x v="12"/>
    <x v="12"/>
    <x v="12"/>
    <x v="180"/>
    <x v="189"/>
    <x v="158"/>
    <x v="200"/>
    <x v="111"/>
    <x v="117"/>
    <x v="1"/>
    <x v="1"/>
  </r>
  <r>
    <x v="11"/>
    <x v="0"/>
    <x v="0"/>
    <x v="3"/>
    <x v="11"/>
    <x v="11"/>
    <x v="13"/>
    <x v="13"/>
    <x v="13"/>
    <x v="13"/>
    <x v="13"/>
    <x v="181"/>
    <x v="79"/>
    <x v="159"/>
    <x v="201"/>
    <x v="143"/>
    <x v="10"/>
    <x v="1"/>
    <x v="1"/>
  </r>
  <r>
    <x v="11"/>
    <x v="0"/>
    <x v="0"/>
    <x v="3"/>
    <x v="11"/>
    <x v="11"/>
    <x v="15"/>
    <x v="15"/>
    <x v="15"/>
    <x v="15"/>
    <x v="14"/>
    <x v="182"/>
    <x v="14"/>
    <x v="160"/>
    <x v="84"/>
    <x v="144"/>
    <x v="192"/>
    <x v="1"/>
    <x v="1"/>
  </r>
  <r>
    <x v="11"/>
    <x v="0"/>
    <x v="0"/>
    <x v="3"/>
    <x v="11"/>
    <x v="11"/>
    <x v="14"/>
    <x v="14"/>
    <x v="14"/>
    <x v="14"/>
    <x v="15"/>
    <x v="62"/>
    <x v="99"/>
    <x v="69"/>
    <x v="202"/>
    <x v="145"/>
    <x v="193"/>
    <x v="1"/>
    <x v="1"/>
  </r>
  <r>
    <x v="11"/>
    <x v="0"/>
    <x v="0"/>
    <x v="3"/>
    <x v="11"/>
    <x v="11"/>
    <x v="32"/>
    <x v="32"/>
    <x v="32"/>
    <x v="32"/>
    <x v="16"/>
    <x v="183"/>
    <x v="100"/>
    <x v="161"/>
    <x v="203"/>
    <x v="55"/>
    <x v="194"/>
    <x v="1"/>
    <x v="1"/>
  </r>
  <r>
    <x v="11"/>
    <x v="0"/>
    <x v="0"/>
    <x v="3"/>
    <x v="11"/>
    <x v="11"/>
    <x v="19"/>
    <x v="19"/>
    <x v="19"/>
    <x v="19"/>
    <x v="17"/>
    <x v="184"/>
    <x v="148"/>
    <x v="49"/>
    <x v="54"/>
    <x v="146"/>
    <x v="195"/>
    <x v="1"/>
    <x v="1"/>
  </r>
  <r>
    <x v="11"/>
    <x v="0"/>
    <x v="0"/>
    <x v="3"/>
    <x v="11"/>
    <x v="11"/>
    <x v="16"/>
    <x v="16"/>
    <x v="16"/>
    <x v="16"/>
    <x v="18"/>
    <x v="185"/>
    <x v="190"/>
    <x v="65"/>
    <x v="81"/>
    <x v="147"/>
    <x v="196"/>
    <x v="1"/>
    <x v="1"/>
  </r>
  <r>
    <x v="11"/>
    <x v="0"/>
    <x v="0"/>
    <x v="3"/>
    <x v="11"/>
    <x v="11"/>
    <x v="21"/>
    <x v="21"/>
    <x v="21"/>
    <x v="21"/>
    <x v="19"/>
    <x v="186"/>
    <x v="116"/>
    <x v="119"/>
    <x v="204"/>
    <x v="148"/>
    <x v="197"/>
    <x v="1"/>
    <x v="1"/>
  </r>
  <r>
    <x v="12"/>
    <x v="0"/>
    <x v="0"/>
    <x v="3"/>
    <x v="12"/>
    <x v="12"/>
    <x v="0"/>
    <x v="0"/>
    <x v="0"/>
    <x v="0"/>
    <x v="0"/>
    <x v="187"/>
    <x v="191"/>
    <x v="162"/>
    <x v="205"/>
    <x v="149"/>
    <x v="198"/>
    <x v="4"/>
    <x v="30"/>
  </r>
  <r>
    <x v="12"/>
    <x v="0"/>
    <x v="0"/>
    <x v="3"/>
    <x v="12"/>
    <x v="12"/>
    <x v="1"/>
    <x v="1"/>
    <x v="1"/>
    <x v="1"/>
    <x v="1"/>
    <x v="188"/>
    <x v="192"/>
    <x v="163"/>
    <x v="206"/>
    <x v="150"/>
    <x v="24"/>
    <x v="1"/>
    <x v="1"/>
  </r>
  <r>
    <x v="12"/>
    <x v="0"/>
    <x v="0"/>
    <x v="3"/>
    <x v="12"/>
    <x v="12"/>
    <x v="3"/>
    <x v="3"/>
    <x v="3"/>
    <x v="3"/>
    <x v="2"/>
    <x v="189"/>
    <x v="193"/>
    <x v="164"/>
    <x v="207"/>
    <x v="117"/>
    <x v="199"/>
    <x v="1"/>
    <x v="1"/>
  </r>
  <r>
    <x v="12"/>
    <x v="0"/>
    <x v="0"/>
    <x v="3"/>
    <x v="12"/>
    <x v="12"/>
    <x v="2"/>
    <x v="2"/>
    <x v="2"/>
    <x v="2"/>
    <x v="3"/>
    <x v="190"/>
    <x v="23"/>
    <x v="165"/>
    <x v="208"/>
    <x v="151"/>
    <x v="200"/>
    <x v="1"/>
    <x v="1"/>
  </r>
  <r>
    <x v="12"/>
    <x v="0"/>
    <x v="0"/>
    <x v="3"/>
    <x v="12"/>
    <x v="12"/>
    <x v="5"/>
    <x v="5"/>
    <x v="5"/>
    <x v="5"/>
    <x v="4"/>
    <x v="191"/>
    <x v="194"/>
    <x v="166"/>
    <x v="209"/>
    <x v="152"/>
    <x v="201"/>
    <x v="1"/>
    <x v="1"/>
  </r>
  <r>
    <x v="12"/>
    <x v="0"/>
    <x v="0"/>
    <x v="3"/>
    <x v="12"/>
    <x v="12"/>
    <x v="8"/>
    <x v="8"/>
    <x v="8"/>
    <x v="8"/>
    <x v="5"/>
    <x v="192"/>
    <x v="195"/>
    <x v="167"/>
    <x v="210"/>
    <x v="66"/>
    <x v="112"/>
    <x v="1"/>
    <x v="1"/>
  </r>
  <r>
    <x v="12"/>
    <x v="0"/>
    <x v="0"/>
    <x v="3"/>
    <x v="12"/>
    <x v="12"/>
    <x v="4"/>
    <x v="4"/>
    <x v="4"/>
    <x v="4"/>
    <x v="6"/>
    <x v="193"/>
    <x v="196"/>
    <x v="168"/>
    <x v="121"/>
    <x v="153"/>
    <x v="202"/>
    <x v="1"/>
    <x v="1"/>
  </r>
  <r>
    <x v="12"/>
    <x v="0"/>
    <x v="0"/>
    <x v="3"/>
    <x v="12"/>
    <x v="12"/>
    <x v="11"/>
    <x v="11"/>
    <x v="11"/>
    <x v="11"/>
    <x v="7"/>
    <x v="194"/>
    <x v="197"/>
    <x v="169"/>
    <x v="87"/>
    <x v="154"/>
    <x v="203"/>
    <x v="1"/>
    <x v="1"/>
  </r>
  <r>
    <x v="12"/>
    <x v="0"/>
    <x v="0"/>
    <x v="3"/>
    <x v="12"/>
    <x v="12"/>
    <x v="7"/>
    <x v="7"/>
    <x v="7"/>
    <x v="7"/>
    <x v="8"/>
    <x v="195"/>
    <x v="110"/>
    <x v="89"/>
    <x v="134"/>
    <x v="155"/>
    <x v="158"/>
    <x v="1"/>
    <x v="1"/>
  </r>
  <r>
    <x v="12"/>
    <x v="0"/>
    <x v="0"/>
    <x v="3"/>
    <x v="12"/>
    <x v="12"/>
    <x v="9"/>
    <x v="9"/>
    <x v="9"/>
    <x v="9"/>
    <x v="9"/>
    <x v="80"/>
    <x v="143"/>
    <x v="123"/>
    <x v="211"/>
    <x v="156"/>
    <x v="204"/>
    <x v="1"/>
    <x v="1"/>
  </r>
  <r>
    <x v="12"/>
    <x v="0"/>
    <x v="0"/>
    <x v="3"/>
    <x v="12"/>
    <x v="12"/>
    <x v="6"/>
    <x v="6"/>
    <x v="6"/>
    <x v="6"/>
    <x v="10"/>
    <x v="196"/>
    <x v="198"/>
    <x v="170"/>
    <x v="212"/>
    <x v="45"/>
    <x v="205"/>
    <x v="8"/>
    <x v="22"/>
  </r>
  <r>
    <x v="12"/>
    <x v="0"/>
    <x v="0"/>
    <x v="3"/>
    <x v="12"/>
    <x v="12"/>
    <x v="10"/>
    <x v="10"/>
    <x v="10"/>
    <x v="10"/>
    <x v="11"/>
    <x v="197"/>
    <x v="92"/>
    <x v="171"/>
    <x v="213"/>
    <x v="128"/>
    <x v="206"/>
    <x v="1"/>
    <x v="1"/>
  </r>
  <r>
    <x v="12"/>
    <x v="0"/>
    <x v="0"/>
    <x v="3"/>
    <x v="12"/>
    <x v="12"/>
    <x v="16"/>
    <x v="16"/>
    <x v="16"/>
    <x v="16"/>
    <x v="12"/>
    <x v="163"/>
    <x v="199"/>
    <x v="172"/>
    <x v="11"/>
    <x v="120"/>
    <x v="207"/>
    <x v="1"/>
    <x v="1"/>
  </r>
  <r>
    <x v="12"/>
    <x v="0"/>
    <x v="0"/>
    <x v="3"/>
    <x v="12"/>
    <x v="12"/>
    <x v="14"/>
    <x v="14"/>
    <x v="14"/>
    <x v="14"/>
    <x v="13"/>
    <x v="164"/>
    <x v="200"/>
    <x v="173"/>
    <x v="72"/>
    <x v="146"/>
    <x v="188"/>
    <x v="1"/>
    <x v="1"/>
  </r>
  <r>
    <x v="12"/>
    <x v="0"/>
    <x v="0"/>
    <x v="3"/>
    <x v="12"/>
    <x v="12"/>
    <x v="12"/>
    <x v="12"/>
    <x v="12"/>
    <x v="12"/>
    <x v="14"/>
    <x v="198"/>
    <x v="201"/>
    <x v="174"/>
    <x v="147"/>
    <x v="58"/>
    <x v="208"/>
    <x v="1"/>
    <x v="1"/>
  </r>
  <r>
    <x v="12"/>
    <x v="0"/>
    <x v="0"/>
    <x v="3"/>
    <x v="12"/>
    <x v="12"/>
    <x v="26"/>
    <x v="26"/>
    <x v="26"/>
    <x v="26"/>
    <x v="15"/>
    <x v="199"/>
    <x v="202"/>
    <x v="122"/>
    <x v="124"/>
    <x v="157"/>
    <x v="209"/>
    <x v="1"/>
    <x v="1"/>
  </r>
  <r>
    <x v="12"/>
    <x v="0"/>
    <x v="0"/>
    <x v="3"/>
    <x v="12"/>
    <x v="12"/>
    <x v="15"/>
    <x v="15"/>
    <x v="15"/>
    <x v="15"/>
    <x v="16"/>
    <x v="109"/>
    <x v="83"/>
    <x v="134"/>
    <x v="214"/>
    <x v="105"/>
    <x v="210"/>
    <x v="1"/>
    <x v="1"/>
  </r>
  <r>
    <x v="12"/>
    <x v="0"/>
    <x v="0"/>
    <x v="3"/>
    <x v="12"/>
    <x v="12"/>
    <x v="19"/>
    <x v="19"/>
    <x v="19"/>
    <x v="19"/>
    <x v="17"/>
    <x v="200"/>
    <x v="116"/>
    <x v="50"/>
    <x v="71"/>
    <x v="158"/>
    <x v="0"/>
    <x v="1"/>
    <x v="1"/>
  </r>
  <r>
    <x v="12"/>
    <x v="0"/>
    <x v="0"/>
    <x v="3"/>
    <x v="12"/>
    <x v="12"/>
    <x v="18"/>
    <x v="18"/>
    <x v="18"/>
    <x v="18"/>
    <x v="18"/>
    <x v="99"/>
    <x v="203"/>
    <x v="42"/>
    <x v="215"/>
    <x v="84"/>
    <x v="211"/>
    <x v="1"/>
    <x v="1"/>
  </r>
  <r>
    <x v="12"/>
    <x v="0"/>
    <x v="0"/>
    <x v="3"/>
    <x v="12"/>
    <x v="12"/>
    <x v="17"/>
    <x v="17"/>
    <x v="17"/>
    <x v="17"/>
    <x v="19"/>
    <x v="201"/>
    <x v="159"/>
    <x v="124"/>
    <x v="216"/>
    <x v="104"/>
    <x v="52"/>
    <x v="1"/>
    <x v="1"/>
  </r>
  <r>
    <x v="13"/>
    <x v="0"/>
    <x v="0"/>
    <x v="3"/>
    <x v="13"/>
    <x v="13"/>
    <x v="0"/>
    <x v="0"/>
    <x v="0"/>
    <x v="0"/>
    <x v="0"/>
    <x v="202"/>
    <x v="204"/>
    <x v="175"/>
    <x v="217"/>
    <x v="159"/>
    <x v="212"/>
    <x v="1"/>
    <x v="1"/>
  </r>
  <r>
    <x v="13"/>
    <x v="0"/>
    <x v="0"/>
    <x v="3"/>
    <x v="13"/>
    <x v="13"/>
    <x v="1"/>
    <x v="1"/>
    <x v="1"/>
    <x v="1"/>
    <x v="1"/>
    <x v="203"/>
    <x v="205"/>
    <x v="176"/>
    <x v="218"/>
    <x v="160"/>
    <x v="213"/>
    <x v="1"/>
    <x v="1"/>
  </r>
  <r>
    <x v="13"/>
    <x v="0"/>
    <x v="0"/>
    <x v="3"/>
    <x v="13"/>
    <x v="13"/>
    <x v="2"/>
    <x v="2"/>
    <x v="2"/>
    <x v="2"/>
    <x v="2"/>
    <x v="121"/>
    <x v="206"/>
    <x v="177"/>
    <x v="219"/>
    <x v="161"/>
    <x v="214"/>
    <x v="1"/>
    <x v="1"/>
  </r>
  <r>
    <x v="13"/>
    <x v="0"/>
    <x v="0"/>
    <x v="3"/>
    <x v="13"/>
    <x v="13"/>
    <x v="5"/>
    <x v="5"/>
    <x v="5"/>
    <x v="5"/>
    <x v="3"/>
    <x v="204"/>
    <x v="207"/>
    <x v="178"/>
    <x v="220"/>
    <x v="162"/>
    <x v="215"/>
    <x v="1"/>
    <x v="1"/>
  </r>
  <r>
    <x v="13"/>
    <x v="0"/>
    <x v="0"/>
    <x v="3"/>
    <x v="13"/>
    <x v="13"/>
    <x v="3"/>
    <x v="3"/>
    <x v="3"/>
    <x v="3"/>
    <x v="4"/>
    <x v="205"/>
    <x v="208"/>
    <x v="47"/>
    <x v="221"/>
    <x v="163"/>
    <x v="216"/>
    <x v="1"/>
    <x v="1"/>
  </r>
  <r>
    <x v="13"/>
    <x v="0"/>
    <x v="0"/>
    <x v="3"/>
    <x v="13"/>
    <x v="13"/>
    <x v="6"/>
    <x v="6"/>
    <x v="6"/>
    <x v="6"/>
    <x v="5"/>
    <x v="206"/>
    <x v="165"/>
    <x v="131"/>
    <x v="222"/>
    <x v="164"/>
    <x v="217"/>
    <x v="4"/>
    <x v="31"/>
  </r>
  <r>
    <x v="13"/>
    <x v="0"/>
    <x v="0"/>
    <x v="3"/>
    <x v="13"/>
    <x v="13"/>
    <x v="4"/>
    <x v="4"/>
    <x v="4"/>
    <x v="4"/>
    <x v="6"/>
    <x v="164"/>
    <x v="209"/>
    <x v="38"/>
    <x v="186"/>
    <x v="127"/>
    <x v="218"/>
    <x v="1"/>
    <x v="1"/>
  </r>
  <r>
    <x v="13"/>
    <x v="0"/>
    <x v="0"/>
    <x v="3"/>
    <x v="13"/>
    <x v="13"/>
    <x v="8"/>
    <x v="8"/>
    <x v="8"/>
    <x v="8"/>
    <x v="7"/>
    <x v="134"/>
    <x v="210"/>
    <x v="179"/>
    <x v="223"/>
    <x v="63"/>
    <x v="219"/>
    <x v="1"/>
    <x v="1"/>
  </r>
  <r>
    <x v="13"/>
    <x v="0"/>
    <x v="0"/>
    <x v="3"/>
    <x v="13"/>
    <x v="13"/>
    <x v="7"/>
    <x v="7"/>
    <x v="7"/>
    <x v="7"/>
    <x v="8"/>
    <x v="207"/>
    <x v="185"/>
    <x v="180"/>
    <x v="155"/>
    <x v="67"/>
    <x v="220"/>
    <x v="1"/>
    <x v="1"/>
  </r>
  <r>
    <x v="13"/>
    <x v="0"/>
    <x v="0"/>
    <x v="3"/>
    <x v="13"/>
    <x v="13"/>
    <x v="10"/>
    <x v="10"/>
    <x v="10"/>
    <x v="10"/>
    <x v="9"/>
    <x v="166"/>
    <x v="90"/>
    <x v="181"/>
    <x v="224"/>
    <x v="47"/>
    <x v="50"/>
    <x v="1"/>
    <x v="1"/>
  </r>
  <r>
    <x v="13"/>
    <x v="0"/>
    <x v="0"/>
    <x v="3"/>
    <x v="13"/>
    <x v="13"/>
    <x v="12"/>
    <x v="12"/>
    <x v="12"/>
    <x v="12"/>
    <x v="10"/>
    <x v="208"/>
    <x v="211"/>
    <x v="182"/>
    <x v="225"/>
    <x v="72"/>
    <x v="221"/>
    <x v="1"/>
    <x v="1"/>
  </r>
  <r>
    <x v="13"/>
    <x v="0"/>
    <x v="0"/>
    <x v="3"/>
    <x v="13"/>
    <x v="13"/>
    <x v="9"/>
    <x v="9"/>
    <x v="9"/>
    <x v="9"/>
    <x v="11"/>
    <x v="209"/>
    <x v="212"/>
    <x v="183"/>
    <x v="226"/>
    <x v="121"/>
    <x v="222"/>
    <x v="1"/>
    <x v="1"/>
  </r>
  <r>
    <x v="13"/>
    <x v="0"/>
    <x v="0"/>
    <x v="3"/>
    <x v="13"/>
    <x v="13"/>
    <x v="14"/>
    <x v="14"/>
    <x v="14"/>
    <x v="14"/>
    <x v="12"/>
    <x v="210"/>
    <x v="32"/>
    <x v="125"/>
    <x v="204"/>
    <x v="104"/>
    <x v="223"/>
    <x v="1"/>
    <x v="1"/>
  </r>
  <r>
    <x v="13"/>
    <x v="0"/>
    <x v="0"/>
    <x v="3"/>
    <x v="13"/>
    <x v="13"/>
    <x v="11"/>
    <x v="11"/>
    <x v="11"/>
    <x v="11"/>
    <x v="13"/>
    <x v="69"/>
    <x v="155"/>
    <x v="82"/>
    <x v="156"/>
    <x v="165"/>
    <x v="153"/>
    <x v="1"/>
    <x v="1"/>
  </r>
  <r>
    <x v="13"/>
    <x v="0"/>
    <x v="0"/>
    <x v="3"/>
    <x v="13"/>
    <x v="13"/>
    <x v="13"/>
    <x v="13"/>
    <x v="13"/>
    <x v="13"/>
    <x v="14"/>
    <x v="70"/>
    <x v="213"/>
    <x v="107"/>
    <x v="31"/>
    <x v="164"/>
    <x v="217"/>
    <x v="1"/>
    <x v="1"/>
  </r>
  <r>
    <x v="13"/>
    <x v="0"/>
    <x v="0"/>
    <x v="3"/>
    <x v="13"/>
    <x v="13"/>
    <x v="19"/>
    <x v="19"/>
    <x v="19"/>
    <x v="19"/>
    <x v="15"/>
    <x v="115"/>
    <x v="214"/>
    <x v="55"/>
    <x v="73"/>
    <x v="50"/>
    <x v="224"/>
    <x v="1"/>
    <x v="1"/>
  </r>
  <r>
    <x v="13"/>
    <x v="0"/>
    <x v="0"/>
    <x v="3"/>
    <x v="13"/>
    <x v="13"/>
    <x v="15"/>
    <x v="15"/>
    <x v="15"/>
    <x v="15"/>
    <x v="16"/>
    <x v="54"/>
    <x v="16"/>
    <x v="84"/>
    <x v="53"/>
    <x v="57"/>
    <x v="47"/>
    <x v="1"/>
    <x v="1"/>
  </r>
  <r>
    <x v="13"/>
    <x v="0"/>
    <x v="0"/>
    <x v="3"/>
    <x v="13"/>
    <x v="13"/>
    <x v="18"/>
    <x v="18"/>
    <x v="18"/>
    <x v="18"/>
    <x v="17"/>
    <x v="55"/>
    <x v="215"/>
    <x v="184"/>
    <x v="227"/>
    <x v="68"/>
    <x v="129"/>
    <x v="1"/>
    <x v="1"/>
  </r>
  <r>
    <x v="13"/>
    <x v="0"/>
    <x v="0"/>
    <x v="3"/>
    <x v="13"/>
    <x v="13"/>
    <x v="20"/>
    <x v="20"/>
    <x v="20"/>
    <x v="20"/>
    <x v="17"/>
    <x v="55"/>
    <x v="215"/>
    <x v="58"/>
    <x v="228"/>
    <x v="50"/>
    <x v="224"/>
    <x v="8"/>
    <x v="21"/>
  </r>
  <r>
    <x v="13"/>
    <x v="0"/>
    <x v="0"/>
    <x v="3"/>
    <x v="13"/>
    <x v="13"/>
    <x v="17"/>
    <x v="17"/>
    <x v="17"/>
    <x v="17"/>
    <x v="19"/>
    <x v="211"/>
    <x v="216"/>
    <x v="185"/>
    <x v="229"/>
    <x v="60"/>
    <x v="27"/>
    <x v="1"/>
    <x v="1"/>
  </r>
  <r>
    <x v="14"/>
    <x v="0"/>
    <x v="0"/>
    <x v="3"/>
    <x v="14"/>
    <x v="14"/>
    <x v="0"/>
    <x v="0"/>
    <x v="0"/>
    <x v="0"/>
    <x v="0"/>
    <x v="212"/>
    <x v="217"/>
    <x v="186"/>
    <x v="217"/>
    <x v="85"/>
    <x v="53"/>
    <x v="1"/>
    <x v="1"/>
  </r>
  <r>
    <x v="14"/>
    <x v="0"/>
    <x v="0"/>
    <x v="3"/>
    <x v="14"/>
    <x v="14"/>
    <x v="1"/>
    <x v="1"/>
    <x v="1"/>
    <x v="1"/>
    <x v="1"/>
    <x v="213"/>
    <x v="218"/>
    <x v="187"/>
    <x v="230"/>
    <x v="166"/>
    <x v="225"/>
    <x v="1"/>
    <x v="1"/>
  </r>
  <r>
    <x v="14"/>
    <x v="0"/>
    <x v="0"/>
    <x v="3"/>
    <x v="14"/>
    <x v="14"/>
    <x v="3"/>
    <x v="3"/>
    <x v="3"/>
    <x v="3"/>
    <x v="2"/>
    <x v="214"/>
    <x v="219"/>
    <x v="188"/>
    <x v="231"/>
    <x v="167"/>
    <x v="226"/>
    <x v="10"/>
    <x v="20"/>
  </r>
  <r>
    <x v="14"/>
    <x v="0"/>
    <x v="0"/>
    <x v="3"/>
    <x v="14"/>
    <x v="14"/>
    <x v="2"/>
    <x v="2"/>
    <x v="2"/>
    <x v="2"/>
    <x v="3"/>
    <x v="215"/>
    <x v="220"/>
    <x v="189"/>
    <x v="232"/>
    <x v="168"/>
    <x v="227"/>
    <x v="7"/>
    <x v="21"/>
  </r>
  <r>
    <x v="14"/>
    <x v="0"/>
    <x v="0"/>
    <x v="3"/>
    <x v="14"/>
    <x v="14"/>
    <x v="8"/>
    <x v="8"/>
    <x v="8"/>
    <x v="8"/>
    <x v="4"/>
    <x v="216"/>
    <x v="221"/>
    <x v="190"/>
    <x v="233"/>
    <x v="55"/>
    <x v="228"/>
    <x v="1"/>
    <x v="1"/>
  </r>
  <r>
    <x v="14"/>
    <x v="0"/>
    <x v="0"/>
    <x v="3"/>
    <x v="14"/>
    <x v="14"/>
    <x v="6"/>
    <x v="6"/>
    <x v="6"/>
    <x v="6"/>
    <x v="5"/>
    <x v="193"/>
    <x v="222"/>
    <x v="191"/>
    <x v="234"/>
    <x v="169"/>
    <x v="9"/>
    <x v="4"/>
    <x v="32"/>
  </r>
  <r>
    <x v="14"/>
    <x v="0"/>
    <x v="0"/>
    <x v="3"/>
    <x v="14"/>
    <x v="14"/>
    <x v="5"/>
    <x v="5"/>
    <x v="5"/>
    <x v="5"/>
    <x v="6"/>
    <x v="217"/>
    <x v="223"/>
    <x v="116"/>
    <x v="235"/>
    <x v="170"/>
    <x v="132"/>
    <x v="1"/>
    <x v="1"/>
  </r>
  <r>
    <x v="14"/>
    <x v="0"/>
    <x v="0"/>
    <x v="3"/>
    <x v="14"/>
    <x v="14"/>
    <x v="7"/>
    <x v="7"/>
    <x v="7"/>
    <x v="7"/>
    <x v="7"/>
    <x v="218"/>
    <x v="224"/>
    <x v="192"/>
    <x v="236"/>
    <x v="171"/>
    <x v="229"/>
    <x v="4"/>
    <x v="32"/>
  </r>
  <r>
    <x v="14"/>
    <x v="0"/>
    <x v="0"/>
    <x v="3"/>
    <x v="14"/>
    <x v="14"/>
    <x v="4"/>
    <x v="4"/>
    <x v="4"/>
    <x v="4"/>
    <x v="8"/>
    <x v="219"/>
    <x v="225"/>
    <x v="96"/>
    <x v="28"/>
    <x v="172"/>
    <x v="230"/>
    <x v="1"/>
    <x v="1"/>
  </r>
  <r>
    <x v="14"/>
    <x v="0"/>
    <x v="0"/>
    <x v="3"/>
    <x v="14"/>
    <x v="14"/>
    <x v="14"/>
    <x v="14"/>
    <x v="14"/>
    <x v="14"/>
    <x v="9"/>
    <x v="220"/>
    <x v="74"/>
    <x v="184"/>
    <x v="237"/>
    <x v="144"/>
    <x v="204"/>
    <x v="1"/>
    <x v="1"/>
  </r>
  <r>
    <x v="14"/>
    <x v="0"/>
    <x v="0"/>
    <x v="3"/>
    <x v="14"/>
    <x v="14"/>
    <x v="12"/>
    <x v="12"/>
    <x v="12"/>
    <x v="12"/>
    <x v="10"/>
    <x v="164"/>
    <x v="226"/>
    <x v="193"/>
    <x v="238"/>
    <x v="86"/>
    <x v="197"/>
    <x v="1"/>
    <x v="1"/>
  </r>
  <r>
    <x v="14"/>
    <x v="0"/>
    <x v="0"/>
    <x v="3"/>
    <x v="14"/>
    <x v="14"/>
    <x v="10"/>
    <x v="10"/>
    <x v="10"/>
    <x v="10"/>
    <x v="11"/>
    <x v="108"/>
    <x v="227"/>
    <x v="112"/>
    <x v="239"/>
    <x v="43"/>
    <x v="231"/>
    <x v="1"/>
    <x v="1"/>
  </r>
  <r>
    <x v="14"/>
    <x v="0"/>
    <x v="0"/>
    <x v="3"/>
    <x v="14"/>
    <x v="14"/>
    <x v="9"/>
    <x v="9"/>
    <x v="9"/>
    <x v="9"/>
    <x v="12"/>
    <x v="137"/>
    <x v="228"/>
    <x v="52"/>
    <x v="240"/>
    <x v="173"/>
    <x v="131"/>
    <x v="1"/>
    <x v="1"/>
  </r>
  <r>
    <x v="14"/>
    <x v="0"/>
    <x v="0"/>
    <x v="3"/>
    <x v="14"/>
    <x v="14"/>
    <x v="11"/>
    <x v="11"/>
    <x v="11"/>
    <x v="11"/>
    <x v="13"/>
    <x v="221"/>
    <x v="145"/>
    <x v="194"/>
    <x v="241"/>
    <x v="140"/>
    <x v="232"/>
    <x v="1"/>
    <x v="1"/>
  </r>
  <r>
    <x v="14"/>
    <x v="0"/>
    <x v="0"/>
    <x v="3"/>
    <x v="14"/>
    <x v="14"/>
    <x v="13"/>
    <x v="13"/>
    <x v="13"/>
    <x v="13"/>
    <x v="14"/>
    <x v="222"/>
    <x v="229"/>
    <x v="195"/>
    <x v="11"/>
    <x v="81"/>
    <x v="233"/>
    <x v="1"/>
    <x v="1"/>
  </r>
  <r>
    <x v="14"/>
    <x v="0"/>
    <x v="0"/>
    <x v="3"/>
    <x v="14"/>
    <x v="14"/>
    <x v="18"/>
    <x v="18"/>
    <x v="18"/>
    <x v="18"/>
    <x v="15"/>
    <x v="223"/>
    <x v="18"/>
    <x v="69"/>
    <x v="242"/>
    <x v="58"/>
    <x v="125"/>
    <x v="1"/>
    <x v="1"/>
  </r>
  <r>
    <x v="14"/>
    <x v="0"/>
    <x v="0"/>
    <x v="3"/>
    <x v="14"/>
    <x v="14"/>
    <x v="17"/>
    <x v="17"/>
    <x v="17"/>
    <x v="17"/>
    <x v="16"/>
    <x v="224"/>
    <x v="36"/>
    <x v="108"/>
    <x v="243"/>
    <x v="81"/>
    <x v="233"/>
    <x v="1"/>
    <x v="1"/>
  </r>
  <r>
    <x v="14"/>
    <x v="0"/>
    <x v="0"/>
    <x v="3"/>
    <x v="14"/>
    <x v="14"/>
    <x v="15"/>
    <x v="15"/>
    <x v="15"/>
    <x v="15"/>
    <x v="17"/>
    <x v="50"/>
    <x v="230"/>
    <x v="137"/>
    <x v="38"/>
    <x v="174"/>
    <x v="234"/>
    <x v="1"/>
    <x v="1"/>
  </r>
  <r>
    <x v="14"/>
    <x v="0"/>
    <x v="0"/>
    <x v="3"/>
    <x v="14"/>
    <x v="14"/>
    <x v="31"/>
    <x v="31"/>
    <x v="31"/>
    <x v="31"/>
    <x v="17"/>
    <x v="50"/>
    <x v="230"/>
    <x v="54"/>
    <x v="244"/>
    <x v="111"/>
    <x v="235"/>
    <x v="1"/>
    <x v="1"/>
  </r>
  <r>
    <x v="14"/>
    <x v="0"/>
    <x v="0"/>
    <x v="3"/>
    <x v="14"/>
    <x v="14"/>
    <x v="20"/>
    <x v="20"/>
    <x v="20"/>
    <x v="20"/>
    <x v="17"/>
    <x v="50"/>
    <x v="230"/>
    <x v="145"/>
    <x v="125"/>
    <x v="67"/>
    <x v="75"/>
    <x v="4"/>
    <x v="32"/>
  </r>
  <r>
    <x v="15"/>
    <x v="0"/>
    <x v="0"/>
    <x v="3"/>
    <x v="15"/>
    <x v="15"/>
    <x v="0"/>
    <x v="0"/>
    <x v="0"/>
    <x v="0"/>
    <x v="0"/>
    <x v="199"/>
    <x v="231"/>
    <x v="131"/>
    <x v="245"/>
    <x v="175"/>
    <x v="129"/>
    <x v="1"/>
    <x v="1"/>
  </r>
  <r>
    <x v="15"/>
    <x v="0"/>
    <x v="0"/>
    <x v="3"/>
    <x v="15"/>
    <x v="15"/>
    <x v="1"/>
    <x v="1"/>
    <x v="1"/>
    <x v="1"/>
    <x v="1"/>
    <x v="109"/>
    <x v="232"/>
    <x v="196"/>
    <x v="246"/>
    <x v="101"/>
    <x v="236"/>
    <x v="1"/>
    <x v="1"/>
  </r>
  <r>
    <x v="15"/>
    <x v="0"/>
    <x v="0"/>
    <x v="3"/>
    <x v="15"/>
    <x v="15"/>
    <x v="2"/>
    <x v="2"/>
    <x v="2"/>
    <x v="2"/>
    <x v="2"/>
    <x v="110"/>
    <x v="233"/>
    <x v="197"/>
    <x v="247"/>
    <x v="84"/>
    <x v="237"/>
    <x v="1"/>
    <x v="1"/>
  </r>
  <r>
    <x v="15"/>
    <x v="0"/>
    <x v="0"/>
    <x v="3"/>
    <x v="15"/>
    <x v="15"/>
    <x v="3"/>
    <x v="3"/>
    <x v="3"/>
    <x v="3"/>
    <x v="3"/>
    <x v="225"/>
    <x v="234"/>
    <x v="103"/>
    <x v="248"/>
    <x v="58"/>
    <x v="238"/>
    <x v="1"/>
    <x v="1"/>
  </r>
  <r>
    <x v="15"/>
    <x v="0"/>
    <x v="0"/>
    <x v="3"/>
    <x v="15"/>
    <x v="15"/>
    <x v="5"/>
    <x v="5"/>
    <x v="5"/>
    <x v="5"/>
    <x v="4"/>
    <x v="68"/>
    <x v="235"/>
    <x v="36"/>
    <x v="92"/>
    <x v="176"/>
    <x v="186"/>
    <x v="1"/>
    <x v="1"/>
  </r>
  <r>
    <x v="15"/>
    <x v="0"/>
    <x v="0"/>
    <x v="3"/>
    <x v="15"/>
    <x v="15"/>
    <x v="7"/>
    <x v="7"/>
    <x v="7"/>
    <x v="7"/>
    <x v="5"/>
    <x v="54"/>
    <x v="236"/>
    <x v="198"/>
    <x v="249"/>
    <x v="100"/>
    <x v="239"/>
    <x v="1"/>
    <x v="1"/>
  </r>
  <r>
    <x v="15"/>
    <x v="0"/>
    <x v="0"/>
    <x v="3"/>
    <x v="15"/>
    <x v="15"/>
    <x v="4"/>
    <x v="4"/>
    <x v="4"/>
    <x v="4"/>
    <x v="6"/>
    <x v="55"/>
    <x v="183"/>
    <x v="86"/>
    <x v="250"/>
    <x v="59"/>
    <x v="240"/>
    <x v="1"/>
    <x v="1"/>
  </r>
  <r>
    <x v="15"/>
    <x v="0"/>
    <x v="0"/>
    <x v="3"/>
    <x v="15"/>
    <x v="15"/>
    <x v="9"/>
    <x v="9"/>
    <x v="9"/>
    <x v="9"/>
    <x v="7"/>
    <x v="74"/>
    <x v="153"/>
    <x v="49"/>
    <x v="251"/>
    <x v="177"/>
    <x v="241"/>
    <x v="1"/>
    <x v="1"/>
  </r>
  <r>
    <x v="15"/>
    <x v="0"/>
    <x v="0"/>
    <x v="3"/>
    <x v="15"/>
    <x v="15"/>
    <x v="6"/>
    <x v="6"/>
    <x v="6"/>
    <x v="6"/>
    <x v="8"/>
    <x v="226"/>
    <x v="237"/>
    <x v="199"/>
    <x v="252"/>
    <x v="178"/>
    <x v="119"/>
    <x v="1"/>
    <x v="1"/>
  </r>
  <r>
    <x v="15"/>
    <x v="0"/>
    <x v="0"/>
    <x v="3"/>
    <x v="15"/>
    <x v="15"/>
    <x v="8"/>
    <x v="8"/>
    <x v="8"/>
    <x v="8"/>
    <x v="9"/>
    <x v="227"/>
    <x v="238"/>
    <x v="95"/>
    <x v="253"/>
    <x v="179"/>
    <x v="242"/>
    <x v="1"/>
    <x v="1"/>
  </r>
  <r>
    <x v="15"/>
    <x v="0"/>
    <x v="0"/>
    <x v="3"/>
    <x v="15"/>
    <x v="15"/>
    <x v="10"/>
    <x v="10"/>
    <x v="10"/>
    <x v="10"/>
    <x v="10"/>
    <x v="144"/>
    <x v="239"/>
    <x v="52"/>
    <x v="134"/>
    <x v="93"/>
    <x v="243"/>
    <x v="1"/>
    <x v="1"/>
  </r>
  <r>
    <x v="15"/>
    <x v="0"/>
    <x v="0"/>
    <x v="3"/>
    <x v="15"/>
    <x v="15"/>
    <x v="11"/>
    <x v="11"/>
    <x v="11"/>
    <x v="11"/>
    <x v="11"/>
    <x v="228"/>
    <x v="11"/>
    <x v="125"/>
    <x v="254"/>
    <x v="100"/>
    <x v="239"/>
    <x v="1"/>
    <x v="1"/>
  </r>
  <r>
    <x v="15"/>
    <x v="0"/>
    <x v="0"/>
    <x v="3"/>
    <x v="15"/>
    <x v="15"/>
    <x v="13"/>
    <x v="13"/>
    <x v="13"/>
    <x v="13"/>
    <x v="12"/>
    <x v="118"/>
    <x v="130"/>
    <x v="124"/>
    <x v="105"/>
    <x v="101"/>
    <x v="236"/>
    <x v="1"/>
    <x v="1"/>
  </r>
  <r>
    <x v="15"/>
    <x v="0"/>
    <x v="0"/>
    <x v="3"/>
    <x v="15"/>
    <x v="15"/>
    <x v="32"/>
    <x v="32"/>
    <x v="32"/>
    <x v="32"/>
    <x v="13"/>
    <x v="229"/>
    <x v="240"/>
    <x v="97"/>
    <x v="255"/>
    <x v="180"/>
    <x v="244"/>
    <x v="4"/>
    <x v="33"/>
  </r>
  <r>
    <x v="15"/>
    <x v="0"/>
    <x v="0"/>
    <x v="3"/>
    <x v="15"/>
    <x v="15"/>
    <x v="12"/>
    <x v="12"/>
    <x v="12"/>
    <x v="12"/>
    <x v="14"/>
    <x v="120"/>
    <x v="241"/>
    <x v="86"/>
    <x v="250"/>
    <x v="181"/>
    <x v="245"/>
    <x v="1"/>
    <x v="1"/>
  </r>
  <r>
    <x v="15"/>
    <x v="0"/>
    <x v="0"/>
    <x v="3"/>
    <x v="15"/>
    <x v="15"/>
    <x v="33"/>
    <x v="33"/>
    <x v="33"/>
    <x v="33"/>
    <x v="15"/>
    <x v="230"/>
    <x v="157"/>
    <x v="48"/>
    <x v="50"/>
    <x v="178"/>
    <x v="119"/>
    <x v="1"/>
    <x v="1"/>
  </r>
  <r>
    <x v="15"/>
    <x v="0"/>
    <x v="0"/>
    <x v="3"/>
    <x v="15"/>
    <x v="15"/>
    <x v="21"/>
    <x v="21"/>
    <x v="21"/>
    <x v="21"/>
    <x v="16"/>
    <x v="231"/>
    <x v="83"/>
    <x v="66"/>
    <x v="256"/>
    <x v="77"/>
    <x v="246"/>
    <x v="1"/>
    <x v="1"/>
  </r>
  <r>
    <x v="15"/>
    <x v="0"/>
    <x v="0"/>
    <x v="3"/>
    <x v="15"/>
    <x v="15"/>
    <x v="20"/>
    <x v="20"/>
    <x v="20"/>
    <x v="20"/>
    <x v="17"/>
    <x v="232"/>
    <x v="53"/>
    <x v="71"/>
    <x v="39"/>
    <x v="177"/>
    <x v="241"/>
    <x v="1"/>
    <x v="1"/>
  </r>
  <r>
    <x v="15"/>
    <x v="0"/>
    <x v="0"/>
    <x v="3"/>
    <x v="15"/>
    <x v="15"/>
    <x v="34"/>
    <x v="34"/>
    <x v="34"/>
    <x v="34"/>
    <x v="18"/>
    <x v="233"/>
    <x v="242"/>
    <x v="185"/>
    <x v="257"/>
    <x v="93"/>
    <x v="243"/>
    <x v="1"/>
    <x v="1"/>
  </r>
  <r>
    <x v="15"/>
    <x v="0"/>
    <x v="0"/>
    <x v="3"/>
    <x v="15"/>
    <x v="15"/>
    <x v="19"/>
    <x v="19"/>
    <x v="19"/>
    <x v="19"/>
    <x v="19"/>
    <x v="234"/>
    <x v="203"/>
    <x v="58"/>
    <x v="54"/>
    <x v="176"/>
    <x v="186"/>
    <x v="1"/>
    <x v="1"/>
  </r>
  <r>
    <x v="16"/>
    <x v="0"/>
    <x v="0"/>
    <x v="3"/>
    <x v="16"/>
    <x v="16"/>
    <x v="3"/>
    <x v="3"/>
    <x v="3"/>
    <x v="3"/>
    <x v="0"/>
    <x v="235"/>
    <x v="243"/>
    <x v="66"/>
    <x v="258"/>
    <x v="182"/>
    <x v="247"/>
    <x v="8"/>
    <x v="20"/>
  </r>
  <r>
    <x v="16"/>
    <x v="0"/>
    <x v="0"/>
    <x v="3"/>
    <x v="16"/>
    <x v="16"/>
    <x v="0"/>
    <x v="0"/>
    <x v="0"/>
    <x v="0"/>
    <x v="1"/>
    <x v="157"/>
    <x v="244"/>
    <x v="200"/>
    <x v="259"/>
    <x v="55"/>
    <x v="248"/>
    <x v="1"/>
    <x v="1"/>
  </r>
  <r>
    <x v="16"/>
    <x v="0"/>
    <x v="0"/>
    <x v="3"/>
    <x v="16"/>
    <x v="16"/>
    <x v="1"/>
    <x v="1"/>
    <x v="1"/>
    <x v="1"/>
    <x v="2"/>
    <x v="159"/>
    <x v="245"/>
    <x v="201"/>
    <x v="260"/>
    <x v="95"/>
    <x v="249"/>
    <x v="1"/>
    <x v="1"/>
  </r>
  <r>
    <x v="16"/>
    <x v="0"/>
    <x v="0"/>
    <x v="3"/>
    <x v="16"/>
    <x v="16"/>
    <x v="2"/>
    <x v="2"/>
    <x v="2"/>
    <x v="2"/>
    <x v="3"/>
    <x v="208"/>
    <x v="246"/>
    <x v="102"/>
    <x v="261"/>
    <x v="54"/>
    <x v="250"/>
    <x v="4"/>
    <x v="19"/>
  </r>
  <r>
    <x v="16"/>
    <x v="0"/>
    <x v="0"/>
    <x v="3"/>
    <x v="16"/>
    <x v="16"/>
    <x v="7"/>
    <x v="7"/>
    <x v="7"/>
    <x v="7"/>
    <x v="4"/>
    <x v="236"/>
    <x v="247"/>
    <x v="38"/>
    <x v="262"/>
    <x v="47"/>
    <x v="251"/>
    <x v="1"/>
    <x v="1"/>
  </r>
  <r>
    <x v="16"/>
    <x v="0"/>
    <x v="0"/>
    <x v="3"/>
    <x v="16"/>
    <x v="16"/>
    <x v="8"/>
    <x v="8"/>
    <x v="8"/>
    <x v="8"/>
    <x v="5"/>
    <x v="223"/>
    <x v="248"/>
    <x v="36"/>
    <x v="158"/>
    <x v="93"/>
    <x v="252"/>
    <x v="1"/>
    <x v="1"/>
  </r>
  <r>
    <x v="16"/>
    <x v="0"/>
    <x v="0"/>
    <x v="3"/>
    <x v="16"/>
    <x v="16"/>
    <x v="5"/>
    <x v="5"/>
    <x v="5"/>
    <x v="5"/>
    <x v="6"/>
    <x v="237"/>
    <x v="249"/>
    <x v="202"/>
    <x v="248"/>
    <x v="72"/>
    <x v="5"/>
    <x v="4"/>
    <x v="19"/>
  </r>
  <r>
    <x v="16"/>
    <x v="0"/>
    <x v="0"/>
    <x v="3"/>
    <x v="16"/>
    <x v="16"/>
    <x v="6"/>
    <x v="6"/>
    <x v="6"/>
    <x v="6"/>
    <x v="7"/>
    <x v="238"/>
    <x v="250"/>
    <x v="183"/>
    <x v="24"/>
    <x v="55"/>
    <x v="248"/>
    <x v="4"/>
    <x v="19"/>
  </r>
  <r>
    <x v="16"/>
    <x v="0"/>
    <x v="0"/>
    <x v="3"/>
    <x v="16"/>
    <x v="16"/>
    <x v="12"/>
    <x v="12"/>
    <x v="12"/>
    <x v="12"/>
    <x v="8"/>
    <x v="54"/>
    <x v="225"/>
    <x v="51"/>
    <x v="263"/>
    <x v="68"/>
    <x v="253"/>
    <x v="1"/>
    <x v="1"/>
  </r>
  <r>
    <x v="16"/>
    <x v="0"/>
    <x v="0"/>
    <x v="3"/>
    <x v="16"/>
    <x v="16"/>
    <x v="14"/>
    <x v="14"/>
    <x v="14"/>
    <x v="14"/>
    <x v="9"/>
    <x v="55"/>
    <x v="251"/>
    <x v="55"/>
    <x v="135"/>
    <x v="47"/>
    <x v="251"/>
    <x v="1"/>
    <x v="1"/>
  </r>
  <r>
    <x v="16"/>
    <x v="0"/>
    <x v="0"/>
    <x v="3"/>
    <x v="16"/>
    <x v="16"/>
    <x v="4"/>
    <x v="4"/>
    <x v="4"/>
    <x v="4"/>
    <x v="10"/>
    <x v="239"/>
    <x v="252"/>
    <x v="185"/>
    <x v="264"/>
    <x v="74"/>
    <x v="83"/>
    <x v="1"/>
    <x v="1"/>
  </r>
  <r>
    <x v="16"/>
    <x v="0"/>
    <x v="0"/>
    <x v="3"/>
    <x v="16"/>
    <x v="16"/>
    <x v="13"/>
    <x v="13"/>
    <x v="13"/>
    <x v="13"/>
    <x v="11"/>
    <x v="77"/>
    <x v="96"/>
    <x v="146"/>
    <x v="51"/>
    <x v="100"/>
    <x v="206"/>
    <x v="1"/>
    <x v="1"/>
  </r>
  <r>
    <x v="16"/>
    <x v="0"/>
    <x v="0"/>
    <x v="3"/>
    <x v="16"/>
    <x v="16"/>
    <x v="17"/>
    <x v="17"/>
    <x v="17"/>
    <x v="17"/>
    <x v="12"/>
    <x v="118"/>
    <x v="201"/>
    <x v="145"/>
    <x v="140"/>
    <x v="183"/>
    <x v="131"/>
    <x v="1"/>
    <x v="1"/>
  </r>
  <r>
    <x v="16"/>
    <x v="0"/>
    <x v="0"/>
    <x v="3"/>
    <x v="16"/>
    <x v="16"/>
    <x v="31"/>
    <x v="31"/>
    <x v="31"/>
    <x v="31"/>
    <x v="13"/>
    <x v="240"/>
    <x v="190"/>
    <x v="71"/>
    <x v="265"/>
    <x v="63"/>
    <x v="51"/>
    <x v="1"/>
    <x v="1"/>
  </r>
  <r>
    <x v="16"/>
    <x v="0"/>
    <x v="0"/>
    <x v="3"/>
    <x v="16"/>
    <x v="16"/>
    <x v="9"/>
    <x v="9"/>
    <x v="9"/>
    <x v="9"/>
    <x v="14"/>
    <x v="232"/>
    <x v="117"/>
    <x v="74"/>
    <x v="266"/>
    <x v="176"/>
    <x v="254"/>
    <x v="1"/>
    <x v="1"/>
  </r>
  <r>
    <x v="16"/>
    <x v="0"/>
    <x v="0"/>
    <x v="3"/>
    <x v="16"/>
    <x v="16"/>
    <x v="10"/>
    <x v="10"/>
    <x v="10"/>
    <x v="10"/>
    <x v="14"/>
    <x v="232"/>
    <x v="117"/>
    <x v="55"/>
    <x v="135"/>
    <x v="184"/>
    <x v="157"/>
    <x v="1"/>
    <x v="1"/>
  </r>
  <r>
    <x v="16"/>
    <x v="0"/>
    <x v="0"/>
    <x v="3"/>
    <x v="16"/>
    <x v="16"/>
    <x v="19"/>
    <x v="19"/>
    <x v="19"/>
    <x v="19"/>
    <x v="16"/>
    <x v="233"/>
    <x v="253"/>
    <x v="71"/>
    <x v="265"/>
    <x v="133"/>
    <x v="52"/>
    <x v="1"/>
    <x v="1"/>
  </r>
  <r>
    <x v="16"/>
    <x v="0"/>
    <x v="0"/>
    <x v="3"/>
    <x v="16"/>
    <x v="16"/>
    <x v="18"/>
    <x v="18"/>
    <x v="18"/>
    <x v="18"/>
    <x v="16"/>
    <x v="233"/>
    <x v="253"/>
    <x v="74"/>
    <x v="266"/>
    <x v="103"/>
    <x v="255"/>
    <x v="1"/>
    <x v="1"/>
  </r>
  <r>
    <x v="16"/>
    <x v="0"/>
    <x v="0"/>
    <x v="3"/>
    <x v="16"/>
    <x v="16"/>
    <x v="11"/>
    <x v="11"/>
    <x v="11"/>
    <x v="11"/>
    <x v="18"/>
    <x v="241"/>
    <x v="254"/>
    <x v="74"/>
    <x v="266"/>
    <x v="184"/>
    <x v="157"/>
    <x v="1"/>
    <x v="1"/>
  </r>
  <r>
    <x v="16"/>
    <x v="0"/>
    <x v="0"/>
    <x v="3"/>
    <x v="16"/>
    <x v="16"/>
    <x v="15"/>
    <x v="15"/>
    <x v="15"/>
    <x v="15"/>
    <x v="18"/>
    <x v="241"/>
    <x v="254"/>
    <x v="57"/>
    <x v="38"/>
    <x v="92"/>
    <x v="256"/>
    <x v="1"/>
    <x v="1"/>
  </r>
  <r>
    <x v="17"/>
    <x v="0"/>
    <x v="0"/>
    <x v="3"/>
    <x v="17"/>
    <x v="17"/>
    <x v="0"/>
    <x v="0"/>
    <x v="0"/>
    <x v="0"/>
    <x v="0"/>
    <x v="242"/>
    <x v="255"/>
    <x v="203"/>
    <x v="267"/>
    <x v="113"/>
    <x v="13"/>
    <x v="1"/>
    <x v="1"/>
  </r>
  <r>
    <x v="17"/>
    <x v="0"/>
    <x v="0"/>
    <x v="3"/>
    <x v="17"/>
    <x v="17"/>
    <x v="1"/>
    <x v="1"/>
    <x v="1"/>
    <x v="1"/>
    <x v="1"/>
    <x v="243"/>
    <x v="256"/>
    <x v="204"/>
    <x v="268"/>
    <x v="54"/>
    <x v="257"/>
    <x v="1"/>
    <x v="1"/>
  </r>
  <r>
    <x v="17"/>
    <x v="0"/>
    <x v="0"/>
    <x v="3"/>
    <x v="17"/>
    <x v="17"/>
    <x v="3"/>
    <x v="3"/>
    <x v="3"/>
    <x v="3"/>
    <x v="2"/>
    <x v="244"/>
    <x v="257"/>
    <x v="38"/>
    <x v="269"/>
    <x v="171"/>
    <x v="258"/>
    <x v="1"/>
    <x v="1"/>
  </r>
  <r>
    <x v="17"/>
    <x v="0"/>
    <x v="0"/>
    <x v="3"/>
    <x v="17"/>
    <x v="17"/>
    <x v="2"/>
    <x v="2"/>
    <x v="2"/>
    <x v="2"/>
    <x v="3"/>
    <x v="135"/>
    <x v="258"/>
    <x v="205"/>
    <x v="270"/>
    <x v="86"/>
    <x v="41"/>
    <x v="4"/>
    <x v="21"/>
  </r>
  <r>
    <x v="17"/>
    <x v="0"/>
    <x v="0"/>
    <x v="3"/>
    <x v="17"/>
    <x v="17"/>
    <x v="4"/>
    <x v="4"/>
    <x v="4"/>
    <x v="4"/>
    <x v="4"/>
    <x v="245"/>
    <x v="259"/>
    <x v="64"/>
    <x v="258"/>
    <x v="185"/>
    <x v="259"/>
    <x v="1"/>
    <x v="1"/>
  </r>
  <r>
    <x v="17"/>
    <x v="0"/>
    <x v="0"/>
    <x v="3"/>
    <x v="17"/>
    <x v="17"/>
    <x v="5"/>
    <x v="5"/>
    <x v="5"/>
    <x v="5"/>
    <x v="5"/>
    <x v="246"/>
    <x v="166"/>
    <x v="206"/>
    <x v="271"/>
    <x v="55"/>
    <x v="212"/>
    <x v="1"/>
    <x v="1"/>
  </r>
  <r>
    <x v="17"/>
    <x v="0"/>
    <x v="0"/>
    <x v="3"/>
    <x v="17"/>
    <x v="17"/>
    <x v="6"/>
    <x v="6"/>
    <x v="6"/>
    <x v="6"/>
    <x v="6"/>
    <x v="160"/>
    <x v="260"/>
    <x v="207"/>
    <x v="161"/>
    <x v="186"/>
    <x v="75"/>
    <x v="4"/>
    <x v="21"/>
  </r>
  <r>
    <x v="17"/>
    <x v="0"/>
    <x v="0"/>
    <x v="3"/>
    <x v="17"/>
    <x v="17"/>
    <x v="8"/>
    <x v="8"/>
    <x v="8"/>
    <x v="8"/>
    <x v="7"/>
    <x v="247"/>
    <x v="261"/>
    <x v="208"/>
    <x v="272"/>
    <x v="92"/>
    <x v="260"/>
    <x v="1"/>
    <x v="1"/>
  </r>
  <r>
    <x v="17"/>
    <x v="0"/>
    <x v="0"/>
    <x v="3"/>
    <x v="17"/>
    <x v="17"/>
    <x v="10"/>
    <x v="10"/>
    <x v="10"/>
    <x v="10"/>
    <x v="8"/>
    <x v="248"/>
    <x v="262"/>
    <x v="168"/>
    <x v="273"/>
    <x v="84"/>
    <x v="45"/>
    <x v="1"/>
    <x v="1"/>
  </r>
  <r>
    <x v="17"/>
    <x v="0"/>
    <x v="0"/>
    <x v="3"/>
    <x v="17"/>
    <x v="17"/>
    <x v="11"/>
    <x v="11"/>
    <x v="11"/>
    <x v="11"/>
    <x v="9"/>
    <x v="210"/>
    <x v="263"/>
    <x v="85"/>
    <x v="274"/>
    <x v="132"/>
    <x v="261"/>
    <x v="1"/>
    <x v="1"/>
  </r>
  <r>
    <x v="17"/>
    <x v="0"/>
    <x v="0"/>
    <x v="3"/>
    <x v="17"/>
    <x v="17"/>
    <x v="7"/>
    <x v="7"/>
    <x v="7"/>
    <x v="7"/>
    <x v="10"/>
    <x v="112"/>
    <x v="264"/>
    <x v="98"/>
    <x v="275"/>
    <x v="50"/>
    <x v="7"/>
    <x v="4"/>
    <x v="21"/>
  </r>
  <r>
    <x v="17"/>
    <x v="0"/>
    <x v="0"/>
    <x v="3"/>
    <x v="17"/>
    <x v="17"/>
    <x v="9"/>
    <x v="9"/>
    <x v="9"/>
    <x v="9"/>
    <x v="11"/>
    <x v="237"/>
    <x v="265"/>
    <x v="64"/>
    <x v="258"/>
    <x v="50"/>
    <x v="7"/>
    <x v="1"/>
    <x v="1"/>
  </r>
  <r>
    <x v="17"/>
    <x v="0"/>
    <x v="0"/>
    <x v="3"/>
    <x v="17"/>
    <x v="17"/>
    <x v="14"/>
    <x v="14"/>
    <x v="14"/>
    <x v="14"/>
    <x v="12"/>
    <x v="91"/>
    <x v="30"/>
    <x v="66"/>
    <x v="241"/>
    <x v="47"/>
    <x v="262"/>
    <x v="1"/>
    <x v="1"/>
  </r>
  <r>
    <x v="17"/>
    <x v="0"/>
    <x v="0"/>
    <x v="3"/>
    <x v="17"/>
    <x v="17"/>
    <x v="12"/>
    <x v="12"/>
    <x v="12"/>
    <x v="12"/>
    <x v="12"/>
    <x v="91"/>
    <x v="30"/>
    <x v="67"/>
    <x v="276"/>
    <x v="100"/>
    <x v="263"/>
    <x v="1"/>
    <x v="1"/>
  </r>
  <r>
    <x v="17"/>
    <x v="0"/>
    <x v="0"/>
    <x v="3"/>
    <x v="17"/>
    <x v="17"/>
    <x v="16"/>
    <x v="16"/>
    <x v="16"/>
    <x v="16"/>
    <x v="14"/>
    <x v="226"/>
    <x v="266"/>
    <x v="84"/>
    <x v="277"/>
    <x v="113"/>
    <x v="13"/>
    <x v="1"/>
    <x v="1"/>
  </r>
  <r>
    <x v="17"/>
    <x v="0"/>
    <x v="0"/>
    <x v="3"/>
    <x v="17"/>
    <x v="17"/>
    <x v="15"/>
    <x v="15"/>
    <x v="15"/>
    <x v="15"/>
    <x v="15"/>
    <x v="117"/>
    <x v="267"/>
    <x v="55"/>
    <x v="167"/>
    <x v="113"/>
    <x v="13"/>
    <x v="1"/>
    <x v="1"/>
  </r>
  <r>
    <x v="17"/>
    <x v="0"/>
    <x v="0"/>
    <x v="3"/>
    <x v="17"/>
    <x v="17"/>
    <x v="26"/>
    <x v="26"/>
    <x v="26"/>
    <x v="26"/>
    <x v="16"/>
    <x v="75"/>
    <x v="268"/>
    <x v="72"/>
    <x v="107"/>
    <x v="113"/>
    <x v="13"/>
    <x v="1"/>
    <x v="1"/>
  </r>
  <r>
    <x v="17"/>
    <x v="0"/>
    <x v="0"/>
    <x v="3"/>
    <x v="17"/>
    <x v="17"/>
    <x v="13"/>
    <x v="13"/>
    <x v="13"/>
    <x v="13"/>
    <x v="17"/>
    <x v="76"/>
    <x v="190"/>
    <x v="50"/>
    <x v="278"/>
    <x v="80"/>
    <x v="264"/>
    <x v="1"/>
    <x v="1"/>
  </r>
  <r>
    <x v="17"/>
    <x v="0"/>
    <x v="0"/>
    <x v="3"/>
    <x v="17"/>
    <x v="17"/>
    <x v="19"/>
    <x v="19"/>
    <x v="19"/>
    <x v="19"/>
    <x v="18"/>
    <x v="249"/>
    <x v="36"/>
    <x v="58"/>
    <x v="279"/>
    <x v="113"/>
    <x v="13"/>
    <x v="1"/>
    <x v="1"/>
  </r>
  <r>
    <x v="17"/>
    <x v="0"/>
    <x v="0"/>
    <x v="3"/>
    <x v="17"/>
    <x v="17"/>
    <x v="20"/>
    <x v="20"/>
    <x v="20"/>
    <x v="20"/>
    <x v="19"/>
    <x v="77"/>
    <x v="230"/>
    <x v="71"/>
    <x v="139"/>
    <x v="66"/>
    <x v="19"/>
    <x v="1"/>
    <x v="1"/>
  </r>
  <r>
    <x v="18"/>
    <x v="0"/>
    <x v="0"/>
    <x v="3"/>
    <x v="18"/>
    <x v="18"/>
    <x v="0"/>
    <x v="0"/>
    <x v="0"/>
    <x v="0"/>
    <x v="0"/>
    <x v="140"/>
    <x v="269"/>
    <x v="103"/>
    <x v="280"/>
    <x v="88"/>
    <x v="265"/>
    <x v="1"/>
    <x v="1"/>
  </r>
  <r>
    <x v="18"/>
    <x v="0"/>
    <x v="0"/>
    <x v="3"/>
    <x v="18"/>
    <x v="18"/>
    <x v="1"/>
    <x v="1"/>
    <x v="1"/>
    <x v="1"/>
    <x v="1"/>
    <x v="102"/>
    <x v="270"/>
    <x v="132"/>
    <x v="281"/>
    <x v="181"/>
    <x v="266"/>
    <x v="1"/>
    <x v="1"/>
  </r>
  <r>
    <x v="18"/>
    <x v="0"/>
    <x v="0"/>
    <x v="3"/>
    <x v="18"/>
    <x v="18"/>
    <x v="3"/>
    <x v="3"/>
    <x v="3"/>
    <x v="3"/>
    <x v="2"/>
    <x v="70"/>
    <x v="271"/>
    <x v="209"/>
    <x v="282"/>
    <x v="103"/>
    <x v="267"/>
    <x v="1"/>
    <x v="1"/>
  </r>
  <r>
    <x v="18"/>
    <x v="0"/>
    <x v="0"/>
    <x v="3"/>
    <x v="18"/>
    <x v="18"/>
    <x v="2"/>
    <x v="2"/>
    <x v="2"/>
    <x v="2"/>
    <x v="3"/>
    <x v="73"/>
    <x v="272"/>
    <x v="194"/>
    <x v="5"/>
    <x v="99"/>
    <x v="268"/>
    <x v="1"/>
    <x v="1"/>
  </r>
  <r>
    <x v="18"/>
    <x v="0"/>
    <x v="0"/>
    <x v="3"/>
    <x v="18"/>
    <x v="18"/>
    <x v="4"/>
    <x v="4"/>
    <x v="4"/>
    <x v="4"/>
    <x v="4"/>
    <x v="250"/>
    <x v="273"/>
    <x v="50"/>
    <x v="283"/>
    <x v="99"/>
    <x v="268"/>
    <x v="1"/>
    <x v="1"/>
  </r>
  <r>
    <x v="18"/>
    <x v="0"/>
    <x v="0"/>
    <x v="3"/>
    <x v="18"/>
    <x v="18"/>
    <x v="5"/>
    <x v="5"/>
    <x v="5"/>
    <x v="5"/>
    <x v="5"/>
    <x v="130"/>
    <x v="274"/>
    <x v="52"/>
    <x v="284"/>
    <x v="175"/>
    <x v="146"/>
    <x v="1"/>
    <x v="1"/>
  </r>
  <r>
    <x v="18"/>
    <x v="0"/>
    <x v="0"/>
    <x v="3"/>
    <x v="18"/>
    <x v="18"/>
    <x v="11"/>
    <x v="11"/>
    <x v="11"/>
    <x v="11"/>
    <x v="6"/>
    <x v="251"/>
    <x v="275"/>
    <x v="50"/>
    <x v="283"/>
    <x v="177"/>
    <x v="269"/>
    <x v="1"/>
    <x v="1"/>
  </r>
  <r>
    <x v="18"/>
    <x v="0"/>
    <x v="0"/>
    <x v="3"/>
    <x v="18"/>
    <x v="18"/>
    <x v="6"/>
    <x v="6"/>
    <x v="6"/>
    <x v="6"/>
    <x v="7"/>
    <x v="249"/>
    <x v="276"/>
    <x v="184"/>
    <x v="223"/>
    <x v="180"/>
    <x v="243"/>
    <x v="1"/>
    <x v="1"/>
  </r>
  <r>
    <x v="18"/>
    <x v="0"/>
    <x v="0"/>
    <x v="3"/>
    <x v="18"/>
    <x v="18"/>
    <x v="9"/>
    <x v="9"/>
    <x v="9"/>
    <x v="9"/>
    <x v="8"/>
    <x v="120"/>
    <x v="169"/>
    <x v="66"/>
    <x v="285"/>
    <x v="87"/>
    <x v="48"/>
    <x v="1"/>
    <x v="1"/>
  </r>
  <r>
    <x v="18"/>
    <x v="0"/>
    <x v="0"/>
    <x v="3"/>
    <x v="18"/>
    <x v="18"/>
    <x v="8"/>
    <x v="8"/>
    <x v="8"/>
    <x v="8"/>
    <x v="9"/>
    <x v="231"/>
    <x v="188"/>
    <x v="50"/>
    <x v="283"/>
    <x v="179"/>
    <x v="270"/>
    <x v="1"/>
    <x v="1"/>
  </r>
  <r>
    <x v="18"/>
    <x v="0"/>
    <x v="0"/>
    <x v="3"/>
    <x v="18"/>
    <x v="18"/>
    <x v="13"/>
    <x v="13"/>
    <x v="13"/>
    <x v="13"/>
    <x v="10"/>
    <x v="252"/>
    <x v="277"/>
    <x v="53"/>
    <x v="102"/>
    <x v="93"/>
    <x v="158"/>
    <x v="1"/>
    <x v="1"/>
  </r>
  <r>
    <x v="18"/>
    <x v="0"/>
    <x v="0"/>
    <x v="3"/>
    <x v="18"/>
    <x v="18"/>
    <x v="16"/>
    <x v="16"/>
    <x v="16"/>
    <x v="16"/>
    <x v="11"/>
    <x v="232"/>
    <x v="94"/>
    <x v="56"/>
    <x v="80"/>
    <x v="103"/>
    <x v="267"/>
    <x v="1"/>
    <x v="1"/>
  </r>
  <r>
    <x v="18"/>
    <x v="0"/>
    <x v="0"/>
    <x v="3"/>
    <x v="18"/>
    <x v="18"/>
    <x v="7"/>
    <x v="7"/>
    <x v="7"/>
    <x v="7"/>
    <x v="11"/>
    <x v="232"/>
    <x v="94"/>
    <x v="73"/>
    <x v="286"/>
    <x v="187"/>
    <x v="271"/>
    <x v="1"/>
    <x v="1"/>
  </r>
  <r>
    <x v="18"/>
    <x v="0"/>
    <x v="0"/>
    <x v="3"/>
    <x v="18"/>
    <x v="18"/>
    <x v="10"/>
    <x v="10"/>
    <x v="10"/>
    <x v="10"/>
    <x v="13"/>
    <x v="234"/>
    <x v="174"/>
    <x v="185"/>
    <x v="287"/>
    <x v="175"/>
    <x v="146"/>
    <x v="1"/>
    <x v="1"/>
  </r>
  <r>
    <x v="18"/>
    <x v="0"/>
    <x v="0"/>
    <x v="3"/>
    <x v="18"/>
    <x v="18"/>
    <x v="15"/>
    <x v="15"/>
    <x v="15"/>
    <x v="15"/>
    <x v="14"/>
    <x v="253"/>
    <x v="278"/>
    <x v="56"/>
    <x v="80"/>
    <x v="178"/>
    <x v="272"/>
    <x v="1"/>
    <x v="1"/>
  </r>
  <r>
    <x v="18"/>
    <x v="0"/>
    <x v="0"/>
    <x v="3"/>
    <x v="18"/>
    <x v="18"/>
    <x v="12"/>
    <x v="12"/>
    <x v="12"/>
    <x v="12"/>
    <x v="14"/>
    <x v="253"/>
    <x v="278"/>
    <x v="66"/>
    <x v="285"/>
    <x v="188"/>
    <x v="273"/>
    <x v="1"/>
    <x v="1"/>
  </r>
  <r>
    <x v="18"/>
    <x v="0"/>
    <x v="0"/>
    <x v="3"/>
    <x v="18"/>
    <x v="18"/>
    <x v="32"/>
    <x v="32"/>
    <x v="32"/>
    <x v="32"/>
    <x v="16"/>
    <x v="254"/>
    <x v="83"/>
    <x v="53"/>
    <x v="102"/>
    <x v="188"/>
    <x v="273"/>
    <x v="1"/>
    <x v="1"/>
  </r>
  <r>
    <x v="18"/>
    <x v="0"/>
    <x v="0"/>
    <x v="3"/>
    <x v="18"/>
    <x v="18"/>
    <x v="18"/>
    <x v="18"/>
    <x v="18"/>
    <x v="18"/>
    <x v="17"/>
    <x v="255"/>
    <x v="279"/>
    <x v="135"/>
    <x v="257"/>
    <x v="178"/>
    <x v="272"/>
    <x v="1"/>
    <x v="1"/>
  </r>
  <r>
    <x v="18"/>
    <x v="0"/>
    <x v="0"/>
    <x v="3"/>
    <x v="18"/>
    <x v="18"/>
    <x v="35"/>
    <x v="35"/>
    <x v="35"/>
    <x v="35"/>
    <x v="18"/>
    <x v="256"/>
    <x v="280"/>
    <x v="135"/>
    <x v="257"/>
    <x v="181"/>
    <x v="266"/>
    <x v="4"/>
    <x v="33"/>
  </r>
  <r>
    <x v="18"/>
    <x v="0"/>
    <x v="0"/>
    <x v="3"/>
    <x v="18"/>
    <x v="18"/>
    <x v="34"/>
    <x v="34"/>
    <x v="34"/>
    <x v="34"/>
    <x v="19"/>
    <x v="257"/>
    <x v="281"/>
    <x v="58"/>
    <x v="288"/>
    <x v="187"/>
    <x v="271"/>
    <x v="1"/>
    <x v="1"/>
  </r>
  <r>
    <x v="19"/>
    <x v="0"/>
    <x v="0"/>
    <x v="3"/>
    <x v="19"/>
    <x v="19"/>
    <x v="0"/>
    <x v="0"/>
    <x v="0"/>
    <x v="0"/>
    <x v="0"/>
    <x v="258"/>
    <x v="282"/>
    <x v="210"/>
    <x v="289"/>
    <x v="46"/>
    <x v="24"/>
    <x v="8"/>
    <x v="34"/>
  </r>
  <r>
    <x v="19"/>
    <x v="0"/>
    <x v="0"/>
    <x v="3"/>
    <x v="19"/>
    <x v="19"/>
    <x v="2"/>
    <x v="2"/>
    <x v="2"/>
    <x v="2"/>
    <x v="1"/>
    <x v="259"/>
    <x v="283"/>
    <x v="139"/>
    <x v="290"/>
    <x v="43"/>
    <x v="274"/>
    <x v="1"/>
    <x v="1"/>
  </r>
  <r>
    <x v="19"/>
    <x v="0"/>
    <x v="0"/>
    <x v="3"/>
    <x v="19"/>
    <x v="19"/>
    <x v="1"/>
    <x v="1"/>
    <x v="1"/>
    <x v="1"/>
    <x v="2"/>
    <x v="260"/>
    <x v="284"/>
    <x v="151"/>
    <x v="291"/>
    <x v="80"/>
    <x v="165"/>
    <x v="1"/>
    <x v="1"/>
  </r>
  <r>
    <x v="19"/>
    <x v="0"/>
    <x v="0"/>
    <x v="3"/>
    <x v="19"/>
    <x v="19"/>
    <x v="4"/>
    <x v="4"/>
    <x v="4"/>
    <x v="4"/>
    <x v="3"/>
    <x v="63"/>
    <x v="180"/>
    <x v="211"/>
    <x v="292"/>
    <x v="128"/>
    <x v="275"/>
    <x v="1"/>
    <x v="1"/>
  </r>
  <r>
    <x v="19"/>
    <x v="0"/>
    <x v="0"/>
    <x v="3"/>
    <x v="19"/>
    <x v="19"/>
    <x v="5"/>
    <x v="5"/>
    <x v="5"/>
    <x v="5"/>
    <x v="4"/>
    <x v="261"/>
    <x v="285"/>
    <x v="212"/>
    <x v="293"/>
    <x v="58"/>
    <x v="276"/>
    <x v="4"/>
    <x v="35"/>
  </r>
  <r>
    <x v="19"/>
    <x v="0"/>
    <x v="0"/>
    <x v="3"/>
    <x v="19"/>
    <x v="19"/>
    <x v="33"/>
    <x v="33"/>
    <x v="33"/>
    <x v="33"/>
    <x v="5"/>
    <x v="262"/>
    <x v="286"/>
    <x v="43"/>
    <x v="294"/>
    <x v="184"/>
    <x v="277"/>
    <x v="1"/>
    <x v="1"/>
  </r>
  <r>
    <x v="19"/>
    <x v="0"/>
    <x v="0"/>
    <x v="3"/>
    <x v="19"/>
    <x v="19"/>
    <x v="9"/>
    <x v="9"/>
    <x v="9"/>
    <x v="9"/>
    <x v="6"/>
    <x v="110"/>
    <x v="287"/>
    <x v="61"/>
    <x v="273"/>
    <x v="102"/>
    <x v="278"/>
    <x v="1"/>
    <x v="1"/>
  </r>
  <r>
    <x v="19"/>
    <x v="0"/>
    <x v="0"/>
    <x v="3"/>
    <x v="19"/>
    <x v="19"/>
    <x v="3"/>
    <x v="3"/>
    <x v="3"/>
    <x v="3"/>
    <x v="6"/>
    <x v="110"/>
    <x v="287"/>
    <x v="93"/>
    <x v="164"/>
    <x v="66"/>
    <x v="178"/>
    <x v="1"/>
    <x v="1"/>
  </r>
  <r>
    <x v="19"/>
    <x v="0"/>
    <x v="0"/>
    <x v="3"/>
    <x v="19"/>
    <x v="19"/>
    <x v="27"/>
    <x v="27"/>
    <x v="27"/>
    <x v="27"/>
    <x v="8"/>
    <x v="263"/>
    <x v="7"/>
    <x v="207"/>
    <x v="295"/>
    <x v="102"/>
    <x v="278"/>
    <x v="1"/>
    <x v="1"/>
  </r>
  <r>
    <x v="19"/>
    <x v="0"/>
    <x v="0"/>
    <x v="3"/>
    <x v="19"/>
    <x v="19"/>
    <x v="7"/>
    <x v="7"/>
    <x v="7"/>
    <x v="7"/>
    <x v="9"/>
    <x v="201"/>
    <x v="288"/>
    <x v="213"/>
    <x v="296"/>
    <x v="71"/>
    <x v="113"/>
    <x v="1"/>
    <x v="1"/>
  </r>
  <r>
    <x v="19"/>
    <x v="0"/>
    <x v="0"/>
    <x v="3"/>
    <x v="19"/>
    <x v="19"/>
    <x v="6"/>
    <x v="6"/>
    <x v="6"/>
    <x v="6"/>
    <x v="10"/>
    <x v="264"/>
    <x v="289"/>
    <x v="47"/>
    <x v="297"/>
    <x v="101"/>
    <x v="279"/>
    <x v="7"/>
    <x v="36"/>
  </r>
  <r>
    <x v="19"/>
    <x v="0"/>
    <x v="0"/>
    <x v="3"/>
    <x v="19"/>
    <x v="19"/>
    <x v="10"/>
    <x v="10"/>
    <x v="10"/>
    <x v="10"/>
    <x v="11"/>
    <x v="68"/>
    <x v="290"/>
    <x v="104"/>
    <x v="298"/>
    <x v="99"/>
    <x v="280"/>
    <x v="1"/>
    <x v="1"/>
  </r>
  <r>
    <x v="19"/>
    <x v="0"/>
    <x v="0"/>
    <x v="3"/>
    <x v="19"/>
    <x v="19"/>
    <x v="11"/>
    <x v="11"/>
    <x v="11"/>
    <x v="11"/>
    <x v="12"/>
    <x v="139"/>
    <x v="291"/>
    <x v="142"/>
    <x v="299"/>
    <x v="83"/>
    <x v="281"/>
    <x v="1"/>
    <x v="1"/>
  </r>
  <r>
    <x v="19"/>
    <x v="0"/>
    <x v="0"/>
    <x v="3"/>
    <x v="19"/>
    <x v="19"/>
    <x v="8"/>
    <x v="8"/>
    <x v="8"/>
    <x v="8"/>
    <x v="13"/>
    <x v="114"/>
    <x v="292"/>
    <x v="209"/>
    <x v="300"/>
    <x v="187"/>
    <x v="282"/>
    <x v="1"/>
    <x v="1"/>
  </r>
  <r>
    <x v="19"/>
    <x v="0"/>
    <x v="0"/>
    <x v="3"/>
    <x v="19"/>
    <x v="19"/>
    <x v="13"/>
    <x v="13"/>
    <x v="13"/>
    <x v="13"/>
    <x v="14"/>
    <x v="104"/>
    <x v="145"/>
    <x v="106"/>
    <x v="301"/>
    <x v="108"/>
    <x v="15"/>
    <x v="1"/>
    <x v="1"/>
  </r>
  <r>
    <x v="19"/>
    <x v="0"/>
    <x v="0"/>
    <x v="3"/>
    <x v="19"/>
    <x v="19"/>
    <x v="12"/>
    <x v="12"/>
    <x v="12"/>
    <x v="12"/>
    <x v="15"/>
    <x v="57"/>
    <x v="293"/>
    <x v="173"/>
    <x v="104"/>
    <x v="88"/>
    <x v="283"/>
    <x v="1"/>
    <x v="1"/>
  </r>
  <r>
    <x v="19"/>
    <x v="0"/>
    <x v="0"/>
    <x v="3"/>
    <x v="19"/>
    <x v="19"/>
    <x v="36"/>
    <x v="36"/>
    <x v="36"/>
    <x v="36"/>
    <x v="16"/>
    <x v="105"/>
    <x v="157"/>
    <x v="214"/>
    <x v="302"/>
    <x v="181"/>
    <x v="284"/>
    <x v="1"/>
    <x v="1"/>
  </r>
  <r>
    <x v="19"/>
    <x v="0"/>
    <x v="0"/>
    <x v="3"/>
    <x v="19"/>
    <x v="19"/>
    <x v="34"/>
    <x v="34"/>
    <x v="34"/>
    <x v="34"/>
    <x v="17"/>
    <x v="265"/>
    <x v="216"/>
    <x v="50"/>
    <x v="240"/>
    <x v="176"/>
    <x v="12"/>
    <x v="4"/>
    <x v="35"/>
  </r>
  <r>
    <x v="19"/>
    <x v="0"/>
    <x v="0"/>
    <x v="3"/>
    <x v="19"/>
    <x v="19"/>
    <x v="15"/>
    <x v="15"/>
    <x v="15"/>
    <x v="15"/>
    <x v="18"/>
    <x v="131"/>
    <x v="294"/>
    <x v="55"/>
    <x v="54"/>
    <x v="177"/>
    <x v="272"/>
    <x v="1"/>
    <x v="1"/>
  </r>
  <r>
    <x v="19"/>
    <x v="0"/>
    <x v="0"/>
    <x v="3"/>
    <x v="19"/>
    <x v="19"/>
    <x v="17"/>
    <x v="17"/>
    <x v="17"/>
    <x v="17"/>
    <x v="18"/>
    <x v="131"/>
    <x v="294"/>
    <x v="73"/>
    <x v="303"/>
    <x v="101"/>
    <x v="279"/>
    <x v="1"/>
    <x v="1"/>
  </r>
  <r>
    <x v="19"/>
    <x v="0"/>
    <x v="0"/>
    <x v="3"/>
    <x v="19"/>
    <x v="19"/>
    <x v="32"/>
    <x v="32"/>
    <x v="32"/>
    <x v="32"/>
    <x v="18"/>
    <x v="131"/>
    <x v="294"/>
    <x v="125"/>
    <x v="304"/>
    <x v="178"/>
    <x v="285"/>
    <x v="1"/>
    <x v="1"/>
  </r>
  <r>
    <x v="20"/>
    <x v="0"/>
    <x v="0"/>
    <x v="3"/>
    <x v="20"/>
    <x v="20"/>
    <x v="0"/>
    <x v="0"/>
    <x v="0"/>
    <x v="0"/>
    <x v="0"/>
    <x v="266"/>
    <x v="295"/>
    <x v="215"/>
    <x v="305"/>
    <x v="113"/>
    <x v="196"/>
    <x v="4"/>
    <x v="32"/>
  </r>
  <r>
    <x v="20"/>
    <x v="0"/>
    <x v="0"/>
    <x v="3"/>
    <x v="20"/>
    <x v="20"/>
    <x v="1"/>
    <x v="1"/>
    <x v="1"/>
    <x v="1"/>
    <x v="1"/>
    <x v="267"/>
    <x v="296"/>
    <x v="152"/>
    <x v="306"/>
    <x v="104"/>
    <x v="286"/>
    <x v="1"/>
    <x v="1"/>
  </r>
  <r>
    <x v="20"/>
    <x v="0"/>
    <x v="0"/>
    <x v="3"/>
    <x v="20"/>
    <x v="20"/>
    <x v="3"/>
    <x v="3"/>
    <x v="3"/>
    <x v="3"/>
    <x v="2"/>
    <x v="268"/>
    <x v="297"/>
    <x v="216"/>
    <x v="307"/>
    <x v="189"/>
    <x v="287"/>
    <x v="1"/>
    <x v="1"/>
  </r>
  <r>
    <x v="20"/>
    <x v="0"/>
    <x v="0"/>
    <x v="3"/>
    <x v="20"/>
    <x v="20"/>
    <x v="2"/>
    <x v="2"/>
    <x v="2"/>
    <x v="2"/>
    <x v="3"/>
    <x v="269"/>
    <x v="298"/>
    <x v="217"/>
    <x v="308"/>
    <x v="190"/>
    <x v="288"/>
    <x v="1"/>
    <x v="1"/>
  </r>
  <r>
    <x v="20"/>
    <x v="0"/>
    <x v="0"/>
    <x v="3"/>
    <x v="20"/>
    <x v="20"/>
    <x v="4"/>
    <x v="4"/>
    <x v="4"/>
    <x v="4"/>
    <x v="4"/>
    <x v="270"/>
    <x v="285"/>
    <x v="103"/>
    <x v="309"/>
    <x v="191"/>
    <x v="289"/>
    <x v="1"/>
    <x v="1"/>
  </r>
  <r>
    <x v="20"/>
    <x v="0"/>
    <x v="0"/>
    <x v="3"/>
    <x v="20"/>
    <x v="20"/>
    <x v="6"/>
    <x v="6"/>
    <x v="6"/>
    <x v="6"/>
    <x v="5"/>
    <x v="271"/>
    <x v="299"/>
    <x v="218"/>
    <x v="310"/>
    <x v="53"/>
    <x v="164"/>
    <x v="1"/>
    <x v="1"/>
  </r>
  <r>
    <x v="20"/>
    <x v="0"/>
    <x v="0"/>
    <x v="3"/>
    <x v="20"/>
    <x v="20"/>
    <x v="5"/>
    <x v="5"/>
    <x v="5"/>
    <x v="5"/>
    <x v="6"/>
    <x v="124"/>
    <x v="300"/>
    <x v="219"/>
    <x v="311"/>
    <x v="52"/>
    <x v="10"/>
    <x v="8"/>
    <x v="19"/>
  </r>
  <r>
    <x v="20"/>
    <x v="0"/>
    <x v="0"/>
    <x v="3"/>
    <x v="20"/>
    <x v="20"/>
    <x v="10"/>
    <x v="10"/>
    <x v="10"/>
    <x v="10"/>
    <x v="7"/>
    <x v="272"/>
    <x v="301"/>
    <x v="220"/>
    <x v="312"/>
    <x v="121"/>
    <x v="105"/>
    <x v="1"/>
    <x v="1"/>
  </r>
  <r>
    <x v="20"/>
    <x v="0"/>
    <x v="0"/>
    <x v="3"/>
    <x v="20"/>
    <x v="20"/>
    <x v="11"/>
    <x v="11"/>
    <x v="11"/>
    <x v="11"/>
    <x v="8"/>
    <x v="273"/>
    <x v="169"/>
    <x v="96"/>
    <x v="123"/>
    <x v="105"/>
    <x v="290"/>
    <x v="1"/>
    <x v="1"/>
  </r>
  <r>
    <x v="20"/>
    <x v="0"/>
    <x v="0"/>
    <x v="3"/>
    <x v="20"/>
    <x v="20"/>
    <x v="9"/>
    <x v="9"/>
    <x v="9"/>
    <x v="9"/>
    <x v="9"/>
    <x v="274"/>
    <x v="302"/>
    <x v="180"/>
    <x v="313"/>
    <x v="132"/>
    <x v="130"/>
    <x v="1"/>
    <x v="1"/>
  </r>
  <r>
    <x v="20"/>
    <x v="0"/>
    <x v="0"/>
    <x v="3"/>
    <x v="20"/>
    <x v="20"/>
    <x v="7"/>
    <x v="7"/>
    <x v="7"/>
    <x v="7"/>
    <x v="10"/>
    <x v="109"/>
    <x v="303"/>
    <x v="209"/>
    <x v="314"/>
    <x v="98"/>
    <x v="291"/>
    <x v="1"/>
    <x v="1"/>
  </r>
  <r>
    <x v="20"/>
    <x v="0"/>
    <x v="0"/>
    <x v="3"/>
    <x v="20"/>
    <x v="20"/>
    <x v="8"/>
    <x v="8"/>
    <x v="8"/>
    <x v="8"/>
    <x v="11"/>
    <x v="222"/>
    <x v="304"/>
    <x v="221"/>
    <x v="315"/>
    <x v="77"/>
    <x v="292"/>
    <x v="1"/>
    <x v="1"/>
  </r>
  <r>
    <x v="20"/>
    <x v="0"/>
    <x v="0"/>
    <x v="3"/>
    <x v="20"/>
    <x v="20"/>
    <x v="12"/>
    <x v="12"/>
    <x v="12"/>
    <x v="12"/>
    <x v="12"/>
    <x v="86"/>
    <x v="305"/>
    <x v="222"/>
    <x v="316"/>
    <x v="100"/>
    <x v="293"/>
    <x v="1"/>
    <x v="1"/>
  </r>
  <r>
    <x v="20"/>
    <x v="0"/>
    <x v="0"/>
    <x v="3"/>
    <x v="20"/>
    <x v="20"/>
    <x v="14"/>
    <x v="14"/>
    <x v="14"/>
    <x v="14"/>
    <x v="13"/>
    <x v="101"/>
    <x v="202"/>
    <x v="125"/>
    <x v="204"/>
    <x v="62"/>
    <x v="294"/>
    <x v="1"/>
    <x v="1"/>
  </r>
  <r>
    <x v="20"/>
    <x v="0"/>
    <x v="0"/>
    <x v="3"/>
    <x v="20"/>
    <x v="20"/>
    <x v="13"/>
    <x v="13"/>
    <x v="13"/>
    <x v="13"/>
    <x v="14"/>
    <x v="88"/>
    <x v="306"/>
    <x v="106"/>
    <x v="317"/>
    <x v="58"/>
    <x v="19"/>
    <x v="1"/>
    <x v="1"/>
  </r>
  <r>
    <x v="20"/>
    <x v="0"/>
    <x v="0"/>
    <x v="3"/>
    <x v="20"/>
    <x v="20"/>
    <x v="18"/>
    <x v="18"/>
    <x v="18"/>
    <x v="18"/>
    <x v="15"/>
    <x v="167"/>
    <x v="147"/>
    <x v="95"/>
    <x v="318"/>
    <x v="99"/>
    <x v="263"/>
    <x v="4"/>
    <x v="32"/>
  </r>
  <r>
    <x v="20"/>
    <x v="0"/>
    <x v="0"/>
    <x v="3"/>
    <x v="20"/>
    <x v="20"/>
    <x v="15"/>
    <x v="15"/>
    <x v="15"/>
    <x v="15"/>
    <x v="16"/>
    <x v="53"/>
    <x v="83"/>
    <x v="146"/>
    <x v="319"/>
    <x v="56"/>
    <x v="58"/>
    <x v="1"/>
    <x v="1"/>
  </r>
  <r>
    <x v="20"/>
    <x v="0"/>
    <x v="0"/>
    <x v="3"/>
    <x v="20"/>
    <x v="20"/>
    <x v="36"/>
    <x v="36"/>
    <x v="36"/>
    <x v="36"/>
    <x v="17"/>
    <x v="211"/>
    <x v="307"/>
    <x v="52"/>
    <x v="320"/>
    <x v="192"/>
    <x v="295"/>
    <x v="1"/>
    <x v="1"/>
  </r>
  <r>
    <x v="20"/>
    <x v="0"/>
    <x v="0"/>
    <x v="3"/>
    <x v="20"/>
    <x v="20"/>
    <x v="19"/>
    <x v="19"/>
    <x v="19"/>
    <x v="19"/>
    <x v="18"/>
    <x v="275"/>
    <x v="308"/>
    <x v="84"/>
    <x v="53"/>
    <x v="55"/>
    <x v="246"/>
    <x v="1"/>
    <x v="1"/>
  </r>
  <r>
    <x v="20"/>
    <x v="0"/>
    <x v="0"/>
    <x v="3"/>
    <x v="20"/>
    <x v="20"/>
    <x v="32"/>
    <x v="32"/>
    <x v="32"/>
    <x v="32"/>
    <x v="19"/>
    <x v="58"/>
    <x v="159"/>
    <x v="106"/>
    <x v="317"/>
    <x v="101"/>
    <x v="296"/>
    <x v="1"/>
    <x v="1"/>
  </r>
  <r>
    <x v="21"/>
    <x v="0"/>
    <x v="0"/>
    <x v="3"/>
    <x v="21"/>
    <x v="21"/>
    <x v="0"/>
    <x v="0"/>
    <x v="0"/>
    <x v="0"/>
    <x v="0"/>
    <x v="248"/>
    <x v="309"/>
    <x v="223"/>
    <x v="321"/>
    <x v="77"/>
    <x v="297"/>
    <x v="8"/>
    <x v="18"/>
  </r>
  <r>
    <x v="21"/>
    <x v="0"/>
    <x v="0"/>
    <x v="3"/>
    <x v="21"/>
    <x v="21"/>
    <x v="1"/>
    <x v="1"/>
    <x v="1"/>
    <x v="1"/>
    <x v="0"/>
    <x v="248"/>
    <x v="309"/>
    <x v="80"/>
    <x v="322"/>
    <x v="184"/>
    <x v="15"/>
    <x v="1"/>
    <x v="1"/>
  </r>
  <r>
    <x v="21"/>
    <x v="0"/>
    <x v="0"/>
    <x v="3"/>
    <x v="21"/>
    <x v="21"/>
    <x v="2"/>
    <x v="2"/>
    <x v="2"/>
    <x v="2"/>
    <x v="2"/>
    <x v="236"/>
    <x v="310"/>
    <x v="83"/>
    <x v="323"/>
    <x v="52"/>
    <x v="298"/>
    <x v="1"/>
    <x v="1"/>
  </r>
  <r>
    <x v="21"/>
    <x v="0"/>
    <x v="0"/>
    <x v="3"/>
    <x v="21"/>
    <x v="21"/>
    <x v="4"/>
    <x v="4"/>
    <x v="4"/>
    <x v="4"/>
    <x v="3"/>
    <x v="54"/>
    <x v="311"/>
    <x v="50"/>
    <x v="324"/>
    <x v="74"/>
    <x v="299"/>
    <x v="1"/>
    <x v="1"/>
  </r>
  <r>
    <x v="21"/>
    <x v="0"/>
    <x v="0"/>
    <x v="3"/>
    <x v="21"/>
    <x v="21"/>
    <x v="3"/>
    <x v="3"/>
    <x v="3"/>
    <x v="3"/>
    <x v="4"/>
    <x v="92"/>
    <x v="312"/>
    <x v="160"/>
    <x v="325"/>
    <x v="63"/>
    <x v="300"/>
    <x v="1"/>
    <x v="1"/>
  </r>
  <r>
    <x v="21"/>
    <x v="0"/>
    <x v="0"/>
    <x v="3"/>
    <x v="21"/>
    <x v="21"/>
    <x v="5"/>
    <x v="5"/>
    <x v="5"/>
    <x v="5"/>
    <x v="5"/>
    <x v="105"/>
    <x v="313"/>
    <x v="224"/>
    <x v="326"/>
    <x v="184"/>
    <x v="15"/>
    <x v="1"/>
    <x v="1"/>
  </r>
  <r>
    <x v="21"/>
    <x v="0"/>
    <x v="0"/>
    <x v="3"/>
    <x v="21"/>
    <x v="21"/>
    <x v="9"/>
    <x v="9"/>
    <x v="9"/>
    <x v="9"/>
    <x v="6"/>
    <x v="228"/>
    <x v="314"/>
    <x v="124"/>
    <x v="327"/>
    <x v="63"/>
    <x v="300"/>
    <x v="1"/>
    <x v="1"/>
  </r>
  <r>
    <x v="21"/>
    <x v="0"/>
    <x v="0"/>
    <x v="3"/>
    <x v="21"/>
    <x v="21"/>
    <x v="6"/>
    <x v="6"/>
    <x v="6"/>
    <x v="6"/>
    <x v="7"/>
    <x v="75"/>
    <x v="6"/>
    <x v="134"/>
    <x v="328"/>
    <x v="77"/>
    <x v="297"/>
    <x v="1"/>
    <x v="1"/>
  </r>
  <r>
    <x v="21"/>
    <x v="0"/>
    <x v="0"/>
    <x v="3"/>
    <x v="21"/>
    <x v="21"/>
    <x v="10"/>
    <x v="10"/>
    <x v="10"/>
    <x v="10"/>
    <x v="8"/>
    <x v="251"/>
    <x v="195"/>
    <x v="108"/>
    <x v="329"/>
    <x v="92"/>
    <x v="301"/>
    <x v="1"/>
    <x v="1"/>
  </r>
  <r>
    <x v="21"/>
    <x v="0"/>
    <x v="0"/>
    <x v="3"/>
    <x v="21"/>
    <x v="21"/>
    <x v="7"/>
    <x v="7"/>
    <x v="7"/>
    <x v="7"/>
    <x v="9"/>
    <x v="77"/>
    <x v="315"/>
    <x v="50"/>
    <x v="324"/>
    <x v="87"/>
    <x v="113"/>
    <x v="1"/>
    <x v="1"/>
  </r>
  <r>
    <x v="21"/>
    <x v="0"/>
    <x v="0"/>
    <x v="3"/>
    <x v="21"/>
    <x v="21"/>
    <x v="11"/>
    <x v="11"/>
    <x v="11"/>
    <x v="11"/>
    <x v="10"/>
    <x v="276"/>
    <x v="316"/>
    <x v="53"/>
    <x v="123"/>
    <x v="100"/>
    <x v="143"/>
    <x v="1"/>
    <x v="1"/>
  </r>
  <r>
    <x v="21"/>
    <x v="0"/>
    <x v="0"/>
    <x v="3"/>
    <x v="21"/>
    <x v="21"/>
    <x v="8"/>
    <x v="8"/>
    <x v="8"/>
    <x v="8"/>
    <x v="11"/>
    <x v="229"/>
    <x v="317"/>
    <x v="82"/>
    <x v="164"/>
    <x v="181"/>
    <x v="302"/>
    <x v="1"/>
    <x v="1"/>
  </r>
  <r>
    <x v="21"/>
    <x v="0"/>
    <x v="0"/>
    <x v="3"/>
    <x v="21"/>
    <x v="21"/>
    <x v="13"/>
    <x v="13"/>
    <x v="13"/>
    <x v="13"/>
    <x v="12"/>
    <x v="240"/>
    <x v="201"/>
    <x v="53"/>
    <x v="123"/>
    <x v="77"/>
    <x v="297"/>
    <x v="1"/>
    <x v="1"/>
  </r>
  <r>
    <x v="21"/>
    <x v="0"/>
    <x v="0"/>
    <x v="3"/>
    <x v="21"/>
    <x v="21"/>
    <x v="19"/>
    <x v="19"/>
    <x v="19"/>
    <x v="19"/>
    <x v="13"/>
    <x v="277"/>
    <x v="215"/>
    <x v="135"/>
    <x v="330"/>
    <x v="93"/>
    <x v="181"/>
    <x v="1"/>
    <x v="1"/>
  </r>
  <r>
    <x v="21"/>
    <x v="0"/>
    <x v="0"/>
    <x v="3"/>
    <x v="21"/>
    <x v="21"/>
    <x v="18"/>
    <x v="18"/>
    <x v="18"/>
    <x v="18"/>
    <x v="13"/>
    <x v="277"/>
    <x v="215"/>
    <x v="137"/>
    <x v="331"/>
    <x v="181"/>
    <x v="302"/>
    <x v="1"/>
    <x v="1"/>
  </r>
  <r>
    <x v="21"/>
    <x v="0"/>
    <x v="0"/>
    <x v="3"/>
    <x v="21"/>
    <x v="21"/>
    <x v="15"/>
    <x v="15"/>
    <x v="15"/>
    <x v="15"/>
    <x v="15"/>
    <x v="253"/>
    <x v="18"/>
    <x v="56"/>
    <x v="88"/>
    <x v="178"/>
    <x v="18"/>
    <x v="1"/>
    <x v="1"/>
  </r>
  <r>
    <x v="21"/>
    <x v="0"/>
    <x v="0"/>
    <x v="3"/>
    <x v="21"/>
    <x v="21"/>
    <x v="12"/>
    <x v="12"/>
    <x v="12"/>
    <x v="12"/>
    <x v="16"/>
    <x v="254"/>
    <x v="203"/>
    <x v="53"/>
    <x v="123"/>
    <x v="188"/>
    <x v="273"/>
    <x v="1"/>
    <x v="1"/>
  </r>
  <r>
    <x v="21"/>
    <x v="0"/>
    <x v="0"/>
    <x v="3"/>
    <x v="21"/>
    <x v="21"/>
    <x v="21"/>
    <x v="21"/>
    <x v="21"/>
    <x v="21"/>
    <x v="17"/>
    <x v="255"/>
    <x v="318"/>
    <x v="135"/>
    <x v="330"/>
    <x v="178"/>
    <x v="18"/>
    <x v="1"/>
    <x v="1"/>
  </r>
  <r>
    <x v="21"/>
    <x v="0"/>
    <x v="0"/>
    <x v="3"/>
    <x v="21"/>
    <x v="21"/>
    <x v="37"/>
    <x v="37"/>
    <x v="37"/>
    <x v="37"/>
    <x v="17"/>
    <x v="255"/>
    <x v="318"/>
    <x v="225"/>
    <x v="332"/>
    <x v="184"/>
    <x v="15"/>
    <x v="1"/>
    <x v="1"/>
  </r>
  <r>
    <x v="21"/>
    <x v="0"/>
    <x v="0"/>
    <x v="3"/>
    <x v="21"/>
    <x v="21"/>
    <x v="14"/>
    <x v="14"/>
    <x v="14"/>
    <x v="14"/>
    <x v="17"/>
    <x v="255"/>
    <x v="318"/>
    <x v="58"/>
    <x v="14"/>
    <x v="88"/>
    <x v="303"/>
    <x v="1"/>
    <x v="1"/>
  </r>
  <r>
    <x v="21"/>
    <x v="0"/>
    <x v="0"/>
    <x v="3"/>
    <x v="21"/>
    <x v="21"/>
    <x v="32"/>
    <x v="32"/>
    <x v="32"/>
    <x v="32"/>
    <x v="17"/>
    <x v="255"/>
    <x v="318"/>
    <x v="185"/>
    <x v="318"/>
    <x v="114"/>
    <x v="304"/>
    <x v="1"/>
    <x v="1"/>
  </r>
  <r>
    <x v="22"/>
    <x v="0"/>
    <x v="0"/>
    <x v="3"/>
    <x v="22"/>
    <x v="22"/>
    <x v="36"/>
    <x v="36"/>
    <x v="36"/>
    <x v="36"/>
    <x v="0"/>
    <x v="278"/>
    <x v="319"/>
    <x v="226"/>
    <x v="333"/>
    <x v="193"/>
    <x v="305"/>
    <x v="1"/>
    <x v="1"/>
  </r>
  <r>
    <x v="22"/>
    <x v="0"/>
    <x v="0"/>
    <x v="3"/>
    <x v="22"/>
    <x v="22"/>
    <x v="0"/>
    <x v="0"/>
    <x v="0"/>
    <x v="0"/>
    <x v="1"/>
    <x v="279"/>
    <x v="320"/>
    <x v="44"/>
    <x v="334"/>
    <x v="93"/>
    <x v="72"/>
    <x v="4"/>
    <x v="19"/>
  </r>
  <r>
    <x v="22"/>
    <x v="0"/>
    <x v="0"/>
    <x v="3"/>
    <x v="22"/>
    <x v="22"/>
    <x v="1"/>
    <x v="1"/>
    <x v="1"/>
    <x v="1"/>
    <x v="2"/>
    <x v="280"/>
    <x v="321"/>
    <x v="113"/>
    <x v="335"/>
    <x v="133"/>
    <x v="105"/>
    <x v="1"/>
    <x v="1"/>
  </r>
  <r>
    <x v="22"/>
    <x v="0"/>
    <x v="0"/>
    <x v="3"/>
    <x v="22"/>
    <x v="22"/>
    <x v="2"/>
    <x v="2"/>
    <x v="2"/>
    <x v="2"/>
    <x v="3"/>
    <x v="84"/>
    <x v="234"/>
    <x v="102"/>
    <x v="336"/>
    <x v="52"/>
    <x v="306"/>
    <x v="1"/>
    <x v="1"/>
  </r>
  <r>
    <x v="22"/>
    <x v="0"/>
    <x v="0"/>
    <x v="3"/>
    <x v="22"/>
    <x v="22"/>
    <x v="4"/>
    <x v="4"/>
    <x v="4"/>
    <x v="4"/>
    <x v="4"/>
    <x v="102"/>
    <x v="208"/>
    <x v="194"/>
    <x v="42"/>
    <x v="52"/>
    <x v="306"/>
    <x v="1"/>
    <x v="1"/>
  </r>
  <r>
    <x v="22"/>
    <x v="0"/>
    <x v="0"/>
    <x v="3"/>
    <x v="22"/>
    <x v="22"/>
    <x v="10"/>
    <x v="10"/>
    <x v="10"/>
    <x v="10"/>
    <x v="5"/>
    <x v="115"/>
    <x v="322"/>
    <x v="198"/>
    <x v="94"/>
    <x v="70"/>
    <x v="291"/>
    <x v="1"/>
    <x v="1"/>
  </r>
  <r>
    <x v="22"/>
    <x v="0"/>
    <x v="0"/>
    <x v="3"/>
    <x v="22"/>
    <x v="22"/>
    <x v="9"/>
    <x v="9"/>
    <x v="9"/>
    <x v="9"/>
    <x v="6"/>
    <x v="129"/>
    <x v="323"/>
    <x v="198"/>
    <x v="94"/>
    <x v="63"/>
    <x v="307"/>
    <x v="1"/>
    <x v="1"/>
  </r>
  <r>
    <x v="22"/>
    <x v="0"/>
    <x v="0"/>
    <x v="3"/>
    <x v="22"/>
    <x v="22"/>
    <x v="5"/>
    <x v="5"/>
    <x v="5"/>
    <x v="5"/>
    <x v="7"/>
    <x v="228"/>
    <x v="170"/>
    <x v="121"/>
    <x v="337"/>
    <x v="187"/>
    <x v="142"/>
    <x v="1"/>
    <x v="1"/>
  </r>
  <r>
    <x v="22"/>
    <x v="0"/>
    <x v="0"/>
    <x v="3"/>
    <x v="22"/>
    <x v="22"/>
    <x v="6"/>
    <x v="6"/>
    <x v="6"/>
    <x v="6"/>
    <x v="8"/>
    <x v="75"/>
    <x v="324"/>
    <x v="194"/>
    <x v="42"/>
    <x v="175"/>
    <x v="173"/>
    <x v="1"/>
    <x v="1"/>
  </r>
  <r>
    <x v="22"/>
    <x v="0"/>
    <x v="0"/>
    <x v="3"/>
    <x v="22"/>
    <x v="22"/>
    <x v="7"/>
    <x v="7"/>
    <x v="7"/>
    <x v="7"/>
    <x v="9"/>
    <x v="76"/>
    <x v="325"/>
    <x v="86"/>
    <x v="118"/>
    <x v="176"/>
    <x v="212"/>
    <x v="4"/>
    <x v="19"/>
  </r>
  <r>
    <x v="22"/>
    <x v="0"/>
    <x v="0"/>
    <x v="3"/>
    <x v="22"/>
    <x v="22"/>
    <x v="3"/>
    <x v="3"/>
    <x v="3"/>
    <x v="3"/>
    <x v="9"/>
    <x v="76"/>
    <x v="325"/>
    <x v="73"/>
    <x v="152"/>
    <x v="69"/>
    <x v="308"/>
    <x v="1"/>
    <x v="1"/>
  </r>
  <r>
    <x v="22"/>
    <x v="0"/>
    <x v="0"/>
    <x v="3"/>
    <x v="22"/>
    <x v="22"/>
    <x v="11"/>
    <x v="11"/>
    <x v="11"/>
    <x v="11"/>
    <x v="11"/>
    <x v="249"/>
    <x v="129"/>
    <x v="86"/>
    <x v="118"/>
    <x v="101"/>
    <x v="309"/>
    <x v="1"/>
    <x v="1"/>
  </r>
  <r>
    <x v="22"/>
    <x v="0"/>
    <x v="0"/>
    <x v="3"/>
    <x v="22"/>
    <x v="22"/>
    <x v="12"/>
    <x v="12"/>
    <x v="12"/>
    <x v="12"/>
    <x v="12"/>
    <x v="281"/>
    <x v="292"/>
    <x v="64"/>
    <x v="338"/>
    <x v="180"/>
    <x v="120"/>
    <x v="1"/>
    <x v="1"/>
  </r>
  <r>
    <x v="22"/>
    <x v="0"/>
    <x v="0"/>
    <x v="3"/>
    <x v="22"/>
    <x v="22"/>
    <x v="38"/>
    <x v="38"/>
    <x v="38"/>
    <x v="38"/>
    <x v="13"/>
    <x v="119"/>
    <x v="33"/>
    <x v="125"/>
    <x v="339"/>
    <x v="93"/>
    <x v="72"/>
    <x v="1"/>
    <x v="1"/>
  </r>
  <r>
    <x v="22"/>
    <x v="0"/>
    <x v="0"/>
    <x v="3"/>
    <x v="22"/>
    <x v="22"/>
    <x v="16"/>
    <x v="16"/>
    <x v="16"/>
    <x v="16"/>
    <x v="14"/>
    <x v="131"/>
    <x v="241"/>
    <x v="85"/>
    <x v="340"/>
    <x v="93"/>
    <x v="72"/>
    <x v="1"/>
    <x v="1"/>
  </r>
  <r>
    <x v="22"/>
    <x v="0"/>
    <x v="0"/>
    <x v="3"/>
    <x v="22"/>
    <x v="22"/>
    <x v="28"/>
    <x v="28"/>
    <x v="28"/>
    <x v="28"/>
    <x v="15"/>
    <x v="282"/>
    <x v="50"/>
    <x v="146"/>
    <x v="318"/>
    <x v="77"/>
    <x v="310"/>
    <x v="1"/>
    <x v="1"/>
  </r>
  <r>
    <x v="22"/>
    <x v="0"/>
    <x v="0"/>
    <x v="3"/>
    <x v="22"/>
    <x v="22"/>
    <x v="8"/>
    <x v="8"/>
    <x v="8"/>
    <x v="8"/>
    <x v="15"/>
    <x v="282"/>
    <x v="50"/>
    <x v="97"/>
    <x v="239"/>
    <x v="114"/>
    <x v="311"/>
    <x v="1"/>
    <x v="1"/>
  </r>
  <r>
    <x v="22"/>
    <x v="0"/>
    <x v="0"/>
    <x v="3"/>
    <x v="22"/>
    <x v="22"/>
    <x v="15"/>
    <x v="15"/>
    <x v="15"/>
    <x v="15"/>
    <x v="17"/>
    <x v="283"/>
    <x v="326"/>
    <x v="57"/>
    <x v="341"/>
    <x v="100"/>
    <x v="62"/>
    <x v="1"/>
    <x v="1"/>
  </r>
  <r>
    <x v="22"/>
    <x v="0"/>
    <x v="0"/>
    <x v="3"/>
    <x v="22"/>
    <x v="22"/>
    <x v="32"/>
    <x v="32"/>
    <x v="32"/>
    <x v="32"/>
    <x v="18"/>
    <x v="252"/>
    <x v="267"/>
    <x v="84"/>
    <x v="342"/>
    <x v="88"/>
    <x v="312"/>
    <x v="1"/>
    <x v="1"/>
  </r>
  <r>
    <x v="22"/>
    <x v="0"/>
    <x v="0"/>
    <x v="3"/>
    <x v="22"/>
    <x v="22"/>
    <x v="17"/>
    <x v="17"/>
    <x v="17"/>
    <x v="17"/>
    <x v="19"/>
    <x v="233"/>
    <x v="327"/>
    <x v="53"/>
    <x v="31"/>
    <x v="88"/>
    <x v="312"/>
    <x v="1"/>
    <x v="1"/>
  </r>
  <r>
    <x v="23"/>
    <x v="0"/>
    <x v="0"/>
    <x v="3"/>
    <x v="23"/>
    <x v="23"/>
    <x v="0"/>
    <x v="0"/>
    <x v="0"/>
    <x v="0"/>
    <x v="0"/>
    <x v="284"/>
    <x v="328"/>
    <x v="227"/>
    <x v="343"/>
    <x v="113"/>
    <x v="234"/>
    <x v="1"/>
    <x v="1"/>
  </r>
  <r>
    <x v="23"/>
    <x v="0"/>
    <x v="0"/>
    <x v="3"/>
    <x v="23"/>
    <x v="23"/>
    <x v="3"/>
    <x v="3"/>
    <x v="3"/>
    <x v="3"/>
    <x v="1"/>
    <x v="285"/>
    <x v="329"/>
    <x v="228"/>
    <x v="344"/>
    <x v="194"/>
    <x v="313"/>
    <x v="4"/>
    <x v="17"/>
  </r>
  <r>
    <x v="23"/>
    <x v="0"/>
    <x v="0"/>
    <x v="3"/>
    <x v="23"/>
    <x v="23"/>
    <x v="1"/>
    <x v="1"/>
    <x v="1"/>
    <x v="1"/>
    <x v="2"/>
    <x v="81"/>
    <x v="330"/>
    <x v="151"/>
    <x v="345"/>
    <x v="40"/>
    <x v="314"/>
    <x v="1"/>
    <x v="1"/>
  </r>
  <r>
    <x v="23"/>
    <x v="0"/>
    <x v="0"/>
    <x v="3"/>
    <x v="23"/>
    <x v="23"/>
    <x v="2"/>
    <x v="2"/>
    <x v="2"/>
    <x v="2"/>
    <x v="3"/>
    <x v="182"/>
    <x v="56"/>
    <x v="196"/>
    <x v="346"/>
    <x v="195"/>
    <x v="315"/>
    <x v="1"/>
    <x v="1"/>
  </r>
  <r>
    <x v="23"/>
    <x v="0"/>
    <x v="0"/>
    <x v="3"/>
    <x v="23"/>
    <x v="23"/>
    <x v="4"/>
    <x v="4"/>
    <x v="4"/>
    <x v="4"/>
    <x v="4"/>
    <x v="63"/>
    <x v="331"/>
    <x v="173"/>
    <x v="347"/>
    <x v="196"/>
    <x v="316"/>
    <x v="1"/>
    <x v="1"/>
  </r>
  <r>
    <x v="23"/>
    <x v="0"/>
    <x v="0"/>
    <x v="3"/>
    <x v="23"/>
    <x v="23"/>
    <x v="6"/>
    <x v="6"/>
    <x v="6"/>
    <x v="6"/>
    <x v="5"/>
    <x v="286"/>
    <x v="332"/>
    <x v="229"/>
    <x v="348"/>
    <x v="97"/>
    <x v="105"/>
    <x v="1"/>
    <x v="1"/>
  </r>
  <r>
    <x v="23"/>
    <x v="0"/>
    <x v="0"/>
    <x v="3"/>
    <x v="23"/>
    <x v="23"/>
    <x v="5"/>
    <x v="5"/>
    <x v="5"/>
    <x v="5"/>
    <x v="6"/>
    <x v="287"/>
    <x v="333"/>
    <x v="211"/>
    <x v="349"/>
    <x v="56"/>
    <x v="317"/>
    <x v="1"/>
    <x v="1"/>
  </r>
  <r>
    <x v="23"/>
    <x v="0"/>
    <x v="0"/>
    <x v="3"/>
    <x v="23"/>
    <x v="23"/>
    <x v="8"/>
    <x v="8"/>
    <x v="8"/>
    <x v="8"/>
    <x v="7"/>
    <x v="49"/>
    <x v="334"/>
    <x v="45"/>
    <x v="350"/>
    <x v="92"/>
    <x v="260"/>
    <x v="1"/>
    <x v="1"/>
  </r>
  <r>
    <x v="23"/>
    <x v="0"/>
    <x v="0"/>
    <x v="3"/>
    <x v="23"/>
    <x v="23"/>
    <x v="7"/>
    <x v="7"/>
    <x v="7"/>
    <x v="7"/>
    <x v="8"/>
    <x v="209"/>
    <x v="197"/>
    <x v="230"/>
    <x v="351"/>
    <x v="53"/>
    <x v="318"/>
    <x v="1"/>
    <x v="1"/>
  </r>
  <r>
    <x v="23"/>
    <x v="0"/>
    <x v="0"/>
    <x v="3"/>
    <x v="23"/>
    <x v="23"/>
    <x v="12"/>
    <x v="12"/>
    <x v="12"/>
    <x v="12"/>
    <x v="9"/>
    <x v="237"/>
    <x v="317"/>
    <x v="202"/>
    <x v="352"/>
    <x v="83"/>
    <x v="319"/>
    <x v="1"/>
    <x v="1"/>
  </r>
  <r>
    <x v="23"/>
    <x v="0"/>
    <x v="0"/>
    <x v="3"/>
    <x v="23"/>
    <x v="23"/>
    <x v="10"/>
    <x v="10"/>
    <x v="10"/>
    <x v="10"/>
    <x v="10"/>
    <x v="288"/>
    <x v="11"/>
    <x v="214"/>
    <x v="353"/>
    <x v="113"/>
    <x v="234"/>
    <x v="1"/>
    <x v="1"/>
  </r>
  <r>
    <x v="23"/>
    <x v="0"/>
    <x v="0"/>
    <x v="3"/>
    <x v="23"/>
    <x v="23"/>
    <x v="9"/>
    <x v="9"/>
    <x v="9"/>
    <x v="9"/>
    <x v="11"/>
    <x v="103"/>
    <x v="12"/>
    <x v="108"/>
    <x v="211"/>
    <x v="47"/>
    <x v="320"/>
    <x v="1"/>
    <x v="1"/>
  </r>
  <r>
    <x v="23"/>
    <x v="0"/>
    <x v="0"/>
    <x v="3"/>
    <x v="23"/>
    <x v="23"/>
    <x v="11"/>
    <x v="11"/>
    <x v="11"/>
    <x v="11"/>
    <x v="12"/>
    <x v="115"/>
    <x v="30"/>
    <x v="84"/>
    <x v="67"/>
    <x v="107"/>
    <x v="321"/>
    <x v="1"/>
    <x v="1"/>
  </r>
  <r>
    <x v="23"/>
    <x v="0"/>
    <x v="0"/>
    <x v="3"/>
    <x v="23"/>
    <x v="23"/>
    <x v="14"/>
    <x v="14"/>
    <x v="14"/>
    <x v="14"/>
    <x v="13"/>
    <x v="92"/>
    <x v="335"/>
    <x v="146"/>
    <x v="30"/>
    <x v="52"/>
    <x v="158"/>
    <x v="1"/>
    <x v="1"/>
  </r>
  <r>
    <x v="23"/>
    <x v="0"/>
    <x v="0"/>
    <x v="3"/>
    <x v="23"/>
    <x v="23"/>
    <x v="13"/>
    <x v="13"/>
    <x v="13"/>
    <x v="13"/>
    <x v="14"/>
    <x v="104"/>
    <x v="336"/>
    <x v="54"/>
    <x v="98"/>
    <x v="113"/>
    <x v="234"/>
    <x v="1"/>
    <x v="1"/>
  </r>
  <r>
    <x v="23"/>
    <x v="0"/>
    <x v="0"/>
    <x v="3"/>
    <x v="23"/>
    <x v="23"/>
    <x v="20"/>
    <x v="20"/>
    <x v="20"/>
    <x v="20"/>
    <x v="15"/>
    <x v="58"/>
    <x v="157"/>
    <x v="225"/>
    <x v="332"/>
    <x v="84"/>
    <x v="322"/>
    <x v="1"/>
    <x v="1"/>
  </r>
  <r>
    <x v="23"/>
    <x v="0"/>
    <x v="0"/>
    <x v="3"/>
    <x v="23"/>
    <x v="23"/>
    <x v="18"/>
    <x v="18"/>
    <x v="18"/>
    <x v="18"/>
    <x v="16"/>
    <x v="249"/>
    <x v="18"/>
    <x v="48"/>
    <x v="121"/>
    <x v="133"/>
    <x v="85"/>
    <x v="1"/>
    <x v="1"/>
  </r>
  <r>
    <x v="23"/>
    <x v="0"/>
    <x v="0"/>
    <x v="3"/>
    <x v="23"/>
    <x v="23"/>
    <x v="17"/>
    <x v="17"/>
    <x v="17"/>
    <x v="17"/>
    <x v="17"/>
    <x v="77"/>
    <x v="158"/>
    <x v="56"/>
    <x v="354"/>
    <x v="83"/>
    <x v="319"/>
    <x v="1"/>
    <x v="1"/>
  </r>
  <r>
    <x v="23"/>
    <x v="0"/>
    <x v="0"/>
    <x v="3"/>
    <x v="23"/>
    <x v="23"/>
    <x v="23"/>
    <x v="23"/>
    <x v="23"/>
    <x v="23"/>
    <x v="17"/>
    <x v="77"/>
    <x v="158"/>
    <x v="58"/>
    <x v="279"/>
    <x v="183"/>
    <x v="57"/>
    <x v="4"/>
    <x v="17"/>
  </r>
  <r>
    <x v="23"/>
    <x v="0"/>
    <x v="0"/>
    <x v="3"/>
    <x v="23"/>
    <x v="23"/>
    <x v="15"/>
    <x v="15"/>
    <x v="15"/>
    <x v="15"/>
    <x v="19"/>
    <x v="276"/>
    <x v="280"/>
    <x v="58"/>
    <x v="279"/>
    <x v="83"/>
    <x v="319"/>
    <x v="1"/>
    <x v="1"/>
  </r>
  <r>
    <x v="24"/>
    <x v="0"/>
    <x v="0"/>
    <x v="3"/>
    <x v="24"/>
    <x v="24"/>
    <x v="0"/>
    <x v="0"/>
    <x v="0"/>
    <x v="0"/>
    <x v="0"/>
    <x v="289"/>
    <x v="337"/>
    <x v="231"/>
    <x v="355"/>
    <x v="192"/>
    <x v="323"/>
    <x v="1"/>
    <x v="1"/>
  </r>
  <r>
    <x v="24"/>
    <x v="0"/>
    <x v="0"/>
    <x v="3"/>
    <x v="24"/>
    <x v="24"/>
    <x v="1"/>
    <x v="1"/>
    <x v="1"/>
    <x v="1"/>
    <x v="1"/>
    <x v="158"/>
    <x v="338"/>
    <x v="232"/>
    <x v="356"/>
    <x v="108"/>
    <x v="180"/>
    <x v="1"/>
    <x v="1"/>
  </r>
  <r>
    <x v="24"/>
    <x v="0"/>
    <x v="0"/>
    <x v="3"/>
    <x v="24"/>
    <x v="24"/>
    <x v="16"/>
    <x v="16"/>
    <x v="16"/>
    <x v="16"/>
    <x v="2"/>
    <x v="290"/>
    <x v="339"/>
    <x v="233"/>
    <x v="357"/>
    <x v="112"/>
    <x v="324"/>
    <x v="1"/>
    <x v="1"/>
  </r>
  <r>
    <x v="24"/>
    <x v="0"/>
    <x v="0"/>
    <x v="3"/>
    <x v="24"/>
    <x v="24"/>
    <x v="2"/>
    <x v="2"/>
    <x v="2"/>
    <x v="2"/>
    <x v="3"/>
    <x v="246"/>
    <x v="193"/>
    <x v="234"/>
    <x v="270"/>
    <x v="84"/>
    <x v="325"/>
    <x v="1"/>
    <x v="1"/>
  </r>
  <r>
    <x v="24"/>
    <x v="0"/>
    <x v="0"/>
    <x v="3"/>
    <x v="24"/>
    <x v="24"/>
    <x v="4"/>
    <x v="4"/>
    <x v="4"/>
    <x v="4"/>
    <x v="4"/>
    <x v="126"/>
    <x v="340"/>
    <x v="99"/>
    <x v="358"/>
    <x v="197"/>
    <x v="326"/>
    <x v="1"/>
    <x v="1"/>
  </r>
  <r>
    <x v="24"/>
    <x v="0"/>
    <x v="0"/>
    <x v="3"/>
    <x v="24"/>
    <x v="24"/>
    <x v="17"/>
    <x v="17"/>
    <x v="17"/>
    <x v="17"/>
    <x v="5"/>
    <x v="238"/>
    <x v="341"/>
    <x v="95"/>
    <x v="359"/>
    <x v="64"/>
    <x v="327"/>
    <x v="4"/>
    <x v="20"/>
  </r>
  <r>
    <x v="24"/>
    <x v="0"/>
    <x v="0"/>
    <x v="3"/>
    <x v="24"/>
    <x v="24"/>
    <x v="9"/>
    <x v="9"/>
    <x v="9"/>
    <x v="9"/>
    <x v="6"/>
    <x v="72"/>
    <x v="342"/>
    <x v="69"/>
    <x v="360"/>
    <x v="69"/>
    <x v="192"/>
    <x v="1"/>
    <x v="1"/>
  </r>
  <r>
    <x v="24"/>
    <x v="0"/>
    <x v="0"/>
    <x v="3"/>
    <x v="24"/>
    <x v="24"/>
    <x v="5"/>
    <x v="5"/>
    <x v="5"/>
    <x v="5"/>
    <x v="7"/>
    <x v="167"/>
    <x v="343"/>
    <x v="140"/>
    <x v="361"/>
    <x v="101"/>
    <x v="72"/>
    <x v="8"/>
    <x v="37"/>
  </r>
  <r>
    <x v="24"/>
    <x v="0"/>
    <x v="0"/>
    <x v="3"/>
    <x v="24"/>
    <x v="24"/>
    <x v="6"/>
    <x v="6"/>
    <x v="6"/>
    <x v="6"/>
    <x v="8"/>
    <x v="291"/>
    <x v="344"/>
    <x v="235"/>
    <x v="27"/>
    <x v="176"/>
    <x v="52"/>
    <x v="1"/>
    <x v="1"/>
  </r>
  <r>
    <x v="24"/>
    <x v="0"/>
    <x v="0"/>
    <x v="3"/>
    <x v="24"/>
    <x v="24"/>
    <x v="10"/>
    <x v="10"/>
    <x v="10"/>
    <x v="10"/>
    <x v="9"/>
    <x v="53"/>
    <x v="345"/>
    <x v="224"/>
    <x v="225"/>
    <x v="91"/>
    <x v="328"/>
    <x v="1"/>
    <x v="1"/>
  </r>
  <r>
    <x v="24"/>
    <x v="0"/>
    <x v="0"/>
    <x v="3"/>
    <x v="24"/>
    <x v="24"/>
    <x v="8"/>
    <x v="8"/>
    <x v="8"/>
    <x v="8"/>
    <x v="10"/>
    <x v="105"/>
    <x v="75"/>
    <x v="38"/>
    <x v="362"/>
    <x v="179"/>
    <x v="329"/>
    <x v="1"/>
    <x v="1"/>
  </r>
  <r>
    <x v="24"/>
    <x v="0"/>
    <x v="0"/>
    <x v="3"/>
    <x v="24"/>
    <x v="24"/>
    <x v="11"/>
    <x v="11"/>
    <x v="11"/>
    <x v="11"/>
    <x v="11"/>
    <x v="226"/>
    <x v="346"/>
    <x v="86"/>
    <x v="363"/>
    <x v="100"/>
    <x v="330"/>
    <x v="1"/>
    <x v="1"/>
  </r>
  <r>
    <x v="24"/>
    <x v="0"/>
    <x v="0"/>
    <x v="3"/>
    <x v="24"/>
    <x v="24"/>
    <x v="7"/>
    <x v="7"/>
    <x v="7"/>
    <x v="7"/>
    <x v="12"/>
    <x v="144"/>
    <x v="347"/>
    <x v="107"/>
    <x v="286"/>
    <x v="77"/>
    <x v="331"/>
    <x v="1"/>
    <x v="1"/>
  </r>
  <r>
    <x v="24"/>
    <x v="0"/>
    <x v="0"/>
    <x v="3"/>
    <x v="24"/>
    <x v="24"/>
    <x v="3"/>
    <x v="3"/>
    <x v="3"/>
    <x v="3"/>
    <x v="13"/>
    <x v="265"/>
    <x v="146"/>
    <x v="68"/>
    <x v="364"/>
    <x v="177"/>
    <x v="332"/>
    <x v="1"/>
    <x v="1"/>
  </r>
  <r>
    <x v="24"/>
    <x v="0"/>
    <x v="0"/>
    <x v="3"/>
    <x v="24"/>
    <x v="24"/>
    <x v="19"/>
    <x v="19"/>
    <x v="19"/>
    <x v="19"/>
    <x v="14"/>
    <x v="276"/>
    <x v="306"/>
    <x v="55"/>
    <x v="288"/>
    <x v="69"/>
    <x v="192"/>
    <x v="1"/>
    <x v="1"/>
  </r>
  <r>
    <x v="24"/>
    <x v="0"/>
    <x v="0"/>
    <x v="3"/>
    <x v="24"/>
    <x v="24"/>
    <x v="32"/>
    <x v="32"/>
    <x v="32"/>
    <x v="32"/>
    <x v="14"/>
    <x v="276"/>
    <x v="306"/>
    <x v="64"/>
    <x v="365"/>
    <x v="178"/>
    <x v="112"/>
    <x v="1"/>
    <x v="1"/>
  </r>
  <r>
    <x v="24"/>
    <x v="0"/>
    <x v="0"/>
    <x v="3"/>
    <x v="24"/>
    <x v="24"/>
    <x v="26"/>
    <x v="26"/>
    <x v="26"/>
    <x v="26"/>
    <x v="16"/>
    <x v="292"/>
    <x v="52"/>
    <x v="137"/>
    <x v="304"/>
    <x v="87"/>
    <x v="333"/>
    <x v="1"/>
    <x v="1"/>
  </r>
  <r>
    <x v="24"/>
    <x v="0"/>
    <x v="0"/>
    <x v="3"/>
    <x v="24"/>
    <x v="24"/>
    <x v="15"/>
    <x v="15"/>
    <x v="15"/>
    <x v="15"/>
    <x v="17"/>
    <x v="230"/>
    <x v="279"/>
    <x v="74"/>
    <x v="107"/>
    <x v="80"/>
    <x v="116"/>
    <x v="1"/>
    <x v="1"/>
  </r>
  <r>
    <x v="24"/>
    <x v="0"/>
    <x v="0"/>
    <x v="3"/>
    <x v="24"/>
    <x v="24"/>
    <x v="39"/>
    <x v="39"/>
    <x v="39"/>
    <x v="39"/>
    <x v="18"/>
    <x v="283"/>
    <x v="17"/>
    <x v="84"/>
    <x v="366"/>
    <x v="77"/>
    <x v="331"/>
    <x v="1"/>
    <x v="1"/>
  </r>
  <r>
    <x v="24"/>
    <x v="0"/>
    <x v="0"/>
    <x v="3"/>
    <x v="24"/>
    <x v="24"/>
    <x v="12"/>
    <x v="12"/>
    <x v="12"/>
    <x v="12"/>
    <x v="18"/>
    <x v="283"/>
    <x v="17"/>
    <x v="48"/>
    <x v="367"/>
    <x v="187"/>
    <x v="334"/>
    <x v="1"/>
    <x v="1"/>
  </r>
  <r>
    <x v="25"/>
    <x v="0"/>
    <x v="0"/>
    <x v="3"/>
    <x v="25"/>
    <x v="25"/>
    <x v="0"/>
    <x v="0"/>
    <x v="0"/>
    <x v="0"/>
    <x v="0"/>
    <x v="293"/>
    <x v="348"/>
    <x v="236"/>
    <x v="368"/>
    <x v="93"/>
    <x v="335"/>
    <x v="1"/>
    <x v="38"/>
  </r>
  <r>
    <x v="25"/>
    <x v="0"/>
    <x v="0"/>
    <x v="3"/>
    <x v="25"/>
    <x v="25"/>
    <x v="1"/>
    <x v="1"/>
    <x v="1"/>
    <x v="1"/>
    <x v="1"/>
    <x v="294"/>
    <x v="349"/>
    <x v="237"/>
    <x v="369"/>
    <x v="70"/>
    <x v="336"/>
    <x v="1"/>
    <x v="38"/>
  </r>
  <r>
    <x v="25"/>
    <x v="0"/>
    <x v="0"/>
    <x v="3"/>
    <x v="25"/>
    <x v="25"/>
    <x v="2"/>
    <x v="2"/>
    <x v="2"/>
    <x v="2"/>
    <x v="2"/>
    <x v="160"/>
    <x v="71"/>
    <x v="132"/>
    <x v="370"/>
    <x v="159"/>
    <x v="337"/>
    <x v="1"/>
    <x v="38"/>
  </r>
  <r>
    <x v="25"/>
    <x v="0"/>
    <x v="0"/>
    <x v="3"/>
    <x v="25"/>
    <x v="25"/>
    <x v="4"/>
    <x v="4"/>
    <x v="4"/>
    <x v="4"/>
    <x v="3"/>
    <x v="98"/>
    <x v="350"/>
    <x v="134"/>
    <x v="118"/>
    <x v="78"/>
    <x v="338"/>
    <x v="1"/>
    <x v="38"/>
  </r>
  <r>
    <x v="25"/>
    <x v="0"/>
    <x v="0"/>
    <x v="3"/>
    <x v="25"/>
    <x v="25"/>
    <x v="5"/>
    <x v="5"/>
    <x v="5"/>
    <x v="5"/>
    <x v="4"/>
    <x v="295"/>
    <x v="351"/>
    <x v="103"/>
    <x v="371"/>
    <x v="100"/>
    <x v="339"/>
    <x v="1"/>
    <x v="38"/>
  </r>
  <r>
    <x v="25"/>
    <x v="0"/>
    <x v="0"/>
    <x v="3"/>
    <x v="25"/>
    <x v="25"/>
    <x v="6"/>
    <x v="6"/>
    <x v="6"/>
    <x v="6"/>
    <x v="5"/>
    <x v="224"/>
    <x v="352"/>
    <x v="143"/>
    <x v="23"/>
    <x v="133"/>
    <x v="36"/>
    <x v="1"/>
    <x v="38"/>
  </r>
  <r>
    <x v="25"/>
    <x v="0"/>
    <x v="0"/>
    <x v="3"/>
    <x v="25"/>
    <x v="25"/>
    <x v="11"/>
    <x v="11"/>
    <x v="11"/>
    <x v="11"/>
    <x v="6"/>
    <x v="128"/>
    <x v="353"/>
    <x v="64"/>
    <x v="314"/>
    <x v="111"/>
    <x v="340"/>
    <x v="1"/>
    <x v="38"/>
  </r>
  <r>
    <x v="25"/>
    <x v="0"/>
    <x v="0"/>
    <x v="3"/>
    <x v="25"/>
    <x v="25"/>
    <x v="3"/>
    <x v="3"/>
    <x v="3"/>
    <x v="3"/>
    <x v="7"/>
    <x v="237"/>
    <x v="354"/>
    <x v="38"/>
    <x v="145"/>
    <x v="71"/>
    <x v="341"/>
    <x v="1"/>
    <x v="38"/>
  </r>
  <r>
    <x v="25"/>
    <x v="0"/>
    <x v="0"/>
    <x v="3"/>
    <x v="25"/>
    <x v="25"/>
    <x v="9"/>
    <x v="9"/>
    <x v="9"/>
    <x v="9"/>
    <x v="8"/>
    <x v="102"/>
    <x v="355"/>
    <x v="224"/>
    <x v="352"/>
    <x v="55"/>
    <x v="342"/>
    <x v="1"/>
    <x v="38"/>
  </r>
  <r>
    <x v="25"/>
    <x v="0"/>
    <x v="0"/>
    <x v="3"/>
    <x v="25"/>
    <x v="25"/>
    <x v="7"/>
    <x v="7"/>
    <x v="7"/>
    <x v="7"/>
    <x v="9"/>
    <x v="296"/>
    <x v="153"/>
    <x v="95"/>
    <x v="236"/>
    <x v="92"/>
    <x v="164"/>
    <x v="1"/>
    <x v="38"/>
  </r>
  <r>
    <x v="25"/>
    <x v="0"/>
    <x v="0"/>
    <x v="3"/>
    <x v="25"/>
    <x v="25"/>
    <x v="10"/>
    <x v="10"/>
    <x v="10"/>
    <x v="10"/>
    <x v="10"/>
    <x v="105"/>
    <x v="10"/>
    <x v="51"/>
    <x v="372"/>
    <x v="80"/>
    <x v="209"/>
    <x v="1"/>
    <x v="38"/>
  </r>
  <r>
    <x v="25"/>
    <x v="0"/>
    <x v="0"/>
    <x v="3"/>
    <x v="25"/>
    <x v="25"/>
    <x v="8"/>
    <x v="8"/>
    <x v="8"/>
    <x v="8"/>
    <x v="10"/>
    <x v="105"/>
    <x v="10"/>
    <x v="69"/>
    <x v="373"/>
    <x v="180"/>
    <x v="343"/>
    <x v="1"/>
    <x v="38"/>
  </r>
  <r>
    <x v="25"/>
    <x v="0"/>
    <x v="0"/>
    <x v="3"/>
    <x v="25"/>
    <x v="25"/>
    <x v="12"/>
    <x v="12"/>
    <x v="12"/>
    <x v="12"/>
    <x v="12"/>
    <x v="251"/>
    <x v="200"/>
    <x v="51"/>
    <x v="372"/>
    <x v="180"/>
    <x v="343"/>
    <x v="1"/>
    <x v="38"/>
  </r>
  <r>
    <x v="25"/>
    <x v="0"/>
    <x v="0"/>
    <x v="3"/>
    <x v="25"/>
    <x v="25"/>
    <x v="13"/>
    <x v="13"/>
    <x v="13"/>
    <x v="13"/>
    <x v="13"/>
    <x v="265"/>
    <x v="240"/>
    <x v="39"/>
    <x v="374"/>
    <x v="133"/>
    <x v="36"/>
    <x v="1"/>
    <x v="38"/>
  </r>
  <r>
    <x v="25"/>
    <x v="0"/>
    <x v="0"/>
    <x v="3"/>
    <x v="25"/>
    <x v="25"/>
    <x v="15"/>
    <x v="15"/>
    <x v="15"/>
    <x v="15"/>
    <x v="14"/>
    <x v="119"/>
    <x v="50"/>
    <x v="56"/>
    <x v="185"/>
    <x v="108"/>
    <x v="344"/>
    <x v="1"/>
    <x v="38"/>
  </r>
  <r>
    <x v="25"/>
    <x v="0"/>
    <x v="0"/>
    <x v="3"/>
    <x v="25"/>
    <x v="25"/>
    <x v="18"/>
    <x v="18"/>
    <x v="18"/>
    <x v="18"/>
    <x v="15"/>
    <x v="120"/>
    <x v="266"/>
    <x v="85"/>
    <x v="211"/>
    <x v="77"/>
    <x v="263"/>
    <x v="1"/>
    <x v="38"/>
  </r>
  <r>
    <x v="25"/>
    <x v="0"/>
    <x v="0"/>
    <x v="3"/>
    <x v="25"/>
    <x v="25"/>
    <x v="31"/>
    <x v="31"/>
    <x v="31"/>
    <x v="31"/>
    <x v="16"/>
    <x v="233"/>
    <x v="356"/>
    <x v="145"/>
    <x v="279"/>
    <x v="87"/>
    <x v="345"/>
    <x v="1"/>
    <x v="38"/>
  </r>
  <r>
    <x v="25"/>
    <x v="0"/>
    <x v="0"/>
    <x v="3"/>
    <x v="25"/>
    <x v="25"/>
    <x v="16"/>
    <x v="16"/>
    <x v="16"/>
    <x v="16"/>
    <x v="17"/>
    <x v="234"/>
    <x v="357"/>
    <x v="56"/>
    <x v="185"/>
    <x v="184"/>
    <x v="12"/>
    <x v="1"/>
    <x v="38"/>
  </r>
  <r>
    <x v="25"/>
    <x v="0"/>
    <x v="0"/>
    <x v="3"/>
    <x v="25"/>
    <x v="25"/>
    <x v="14"/>
    <x v="14"/>
    <x v="14"/>
    <x v="14"/>
    <x v="17"/>
    <x v="234"/>
    <x v="357"/>
    <x v="55"/>
    <x v="204"/>
    <x v="93"/>
    <x v="335"/>
    <x v="1"/>
    <x v="38"/>
  </r>
  <r>
    <x v="25"/>
    <x v="0"/>
    <x v="0"/>
    <x v="3"/>
    <x v="25"/>
    <x v="25"/>
    <x v="26"/>
    <x v="26"/>
    <x v="26"/>
    <x v="26"/>
    <x v="19"/>
    <x v="297"/>
    <x v="358"/>
    <x v="57"/>
    <x v="375"/>
    <x v="103"/>
    <x v="346"/>
    <x v="1"/>
    <x v="38"/>
  </r>
  <r>
    <x v="25"/>
    <x v="0"/>
    <x v="0"/>
    <x v="3"/>
    <x v="25"/>
    <x v="25"/>
    <x v="40"/>
    <x v="40"/>
    <x v="40"/>
    <x v="40"/>
    <x v="19"/>
    <x v="297"/>
    <x v="358"/>
    <x v="56"/>
    <x v="185"/>
    <x v="175"/>
    <x v="347"/>
    <x v="1"/>
    <x v="38"/>
  </r>
  <r>
    <x v="26"/>
    <x v="0"/>
    <x v="0"/>
    <x v="3"/>
    <x v="26"/>
    <x v="26"/>
    <x v="0"/>
    <x v="0"/>
    <x v="0"/>
    <x v="0"/>
    <x v="0"/>
    <x v="298"/>
    <x v="349"/>
    <x v="238"/>
    <x v="376"/>
    <x v="80"/>
    <x v="348"/>
    <x v="1"/>
    <x v="1"/>
  </r>
  <r>
    <x v="26"/>
    <x v="0"/>
    <x v="0"/>
    <x v="3"/>
    <x v="26"/>
    <x v="26"/>
    <x v="1"/>
    <x v="1"/>
    <x v="1"/>
    <x v="1"/>
    <x v="1"/>
    <x v="299"/>
    <x v="359"/>
    <x v="239"/>
    <x v="377"/>
    <x v="164"/>
    <x v="349"/>
    <x v="1"/>
    <x v="1"/>
  </r>
  <r>
    <x v="26"/>
    <x v="0"/>
    <x v="0"/>
    <x v="3"/>
    <x v="26"/>
    <x v="26"/>
    <x v="3"/>
    <x v="3"/>
    <x v="3"/>
    <x v="3"/>
    <x v="2"/>
    <x v="300"/>
    <x v="360"/>
    <x v="228"/>
    <x v="378"/>
    <x v="198"/>
    <x v="350"/>
    <x v="4"/>
    <x v="19"/>
  </r>
  <r>
    <x v="26"/>
    <x v="0"/>
    <x v="0"/>
    <x v="3"/>
    <x v="26"/>
    <x v="26"/>
    <x v="2"/>
    <x v="2"/>
    <x v="2"/>
    <x v="2"/>
    <x v="3"/>
    <x v="301"/>
    <x v="361"/>
    <x v="240"/>
    <x v="379"/>
    <x v="50"/>
    <x v="351"/>
    <x v="4"/>
    <x v="19"/>
  </r>
  <r>
    <x v="26"/>
    <x v="0"/>
    <x v="0"/>
    <x v="3"/>
    <x v="26"/>
    <x v="26"/>
    <x v="6"/>
    <x v="6"/>
    <x v="6"/>
    <x v="6"/>
    <x v="4"/>
    <x v="302"/>
    <x v="181"/>
    <x v="112"/>
    <x v="44"/>
    <x v="64"/>
    <x v="352"/>
    <x v="4"/>
    <x v="19"/>
  </r>
  <r>
    <x v="26"/>
    <x v="0"/>
    <x v="0"/>
    <x v="3"/>
    <x v="26"/>
    <x v="26"/>
    <x v="4"/>
    <x v="4"/>
    <x v="4"/>
    <x v="4"/>
    <x v="5"/>
    <x v="200"/>
    <x v="332"/>
    <x v="54"/>
    <x v="105"/>
    <x v="170"/>
    <x v="353"/>
    <x v="1"/>
    <x v="1"/>
  </r>
  <r>
    <x v="26"/>
    <x v="0"/>
    <x v="0"/>
    <x v="3"/>
    <x v="26"/>
    <x v="26"/>
    <x v="5"/>
    <x v="5"/>
    <x v="5"/>
    <x v="5"/>
    <x v="6"/>
    <x v="127"/>
    <x v="362"/>
    <x v="228"/>
    <x v="378"/>
    <x v="113"/>
    <x v="101"/>
    <x v="4"/>
    <x v="19"/>
  </r>
  <r>
    <x v="26"/>
    <x v="0"/>
    <x v="0"/>
    <x v="3"/>
    <x v="26"/>
    <x v="26"/>
    <x v="10"/>
    <x v="10"/>
    <x v="10"/>
    <x v="10"/>
    <x v="7"/>
    <x v="112"/>
    <x v="126"/>
    <x v="241"/>
    <x v="93"/>
    <x v="71"/>
    <x v="20"/>
    <x v="1"/>
    <x v="1"/>
  </r>
  <r>
    <x v="26"/>
    <x v="0"/>
    <x v="0"/>
    <x v="3"/>
    <x v="26"/>
    <x v="26"/>
    <x v="8"/>
    <x v="8"/>
    <x v="8"/>
    <x v="8"/>
    <x v="8"/>
    <x v="72"/>
    <x v="9"/>
    <x v="209"/>
    <x v="380"/>
    <x v="88"/>
    <x v="354"/>
    <x v="1"/>
    <x v="1"/>
  </r>
  <r>
    <x v="26"/>
    <x v="0"/>
    <x v="0"/>
    <x v="3"/>
    <x v="26"/>
    <x v="26"/>
    <x v="7"/>
    <x v="7"/>
    <x v="7"/>
    <x v="7"/>
    <x v="9"/>
    <x v="91"/>
    <x v="92"/>
    <x v="54"/>
    <x v="105"/>
    <x v="64"/>
    <x v="352"/>
    <x v="1"/>
    <x v="1"/>
  </r>
  <r>
    <x v="26"/>
    <x v="0"/>
    <x v="0"/>
    <x v="3"/>
    <x v="26"/>
    <x v="26"/>
    <x v="12"/>
    <x v="12"/>
    <x v="12"/>
    <x v="12"/>
    <x v="10"/>
    <x v="55"/>
    <x v="154"/>
    <x v="144"/>
    <x v="164"/>
    <x v="77"/>
    <x v="120"/>
    <x v="1"/>
    <x v="1"/>
  </r>
  <r>
    <x v="26"/>
    <x v="0"/>
    <x v="0"/>
    <x v="3"/>
    <x v="26"/>
    <x v="26"/>
    <x v="11"/>
    <x v="11"/>
    <x v="11"/>
    <x v="11"/>
    <x v="11"/>
    <x v="92"/>
    <x v="76"/>
    <x v="85"/>
    <x v="381"/>
    <x v="164"/>
    <x v="349"/>
    <x v="1"/>
    <x v="1"/>
  </r>
  <r>
    <x v="26"/>
    <x v="0"/>
    <x v="0"/>
    <x v="3"/>
    <x v="26"/>
    <x v="26"/>
    <x v="9"/>
    <x v="9"/>
    <x v="9"/>
    <x v="9"/>
    <x v="12"/>
    <x v="73"/>
    <x v="363"/>
    <x v="125"/>
    <x v="382"/>
    <x v="59"/>
    <x v="317"/>
    <x v="1"/>
    <x v="1"/>
  </r>
  <r>
    <x v="26"/>
    <x v="0"/>
    <x v="0"/>
    <x v="3"/>
    <x v="26"/>
    <x v="26"/>
    <x v="14"/>
    <x v="14"/>
    <x v="14"/>
    <x v="14"/>
    <x v="13"/>
    <x v="250"/>
    <x v="364"/>
    <x v="146"/>
    <x v="215"/>
    <x v="113"/>
    <x v="101"/>
    <x v="1"/>
    <x v="1"/>
  </r>
  <r>
    <x v="26"/>
    <x v="0"/>
    <x v="0"/>
    <x v="3"/>
    <x v="26"/>
    <x v="26"/>
    <x v="18"/>
    <x v="18"/>
    <x v="18"/>
    <x v="18"/>
    <x v="14"/>
    <x v="130"/>
    <x v="146"/>
    <x v="85"/>
    <x v="381"/>
    <x v="102"/>
    <x v="236"/>
    <x v="1"/>
    <x v="1"/>
  </r>
  <r>
    <x v="26"/>
    <x v="0"/>
    <x v="0"/>
    <x v="3"/>
    <x v="26"/>
    <x v="26"/>
    <x v="13"/>
    <x v="13"/>
    <x v="13"/>
    <x v="13"/>
    <x v="15"/>
    <x v="75"/>
    <x v="365"/>
    <x v="68"/>
    <x v="121"/>
    <x v="69"/>
    <x v="355"/>
    <x v="1"/>
    <x v="1"/>
  </r>
  <r>
    <x v="26"/>
    <x v="0"/>
    <x v="0"/>
    <x v="3"/>
    <x v="26"/>
    <x v="26"/>
    <x v="15"/>
    <x v="15"/>
    <x v="15"/>
    <x v="15"/>
    <x v="16"/>
    <x v="77"/>
    <x v="147"/>
    <x v="145"/>
    <x v="189"/>
    <x v="113"/>
    <x v="101"/>
    <x v="1"/>
    <x v="1"/>
  </r>
  <r>
    <x v="26"/>
    <x v="0"/>
    <x v="0"/>
    <x v="3"/>
    <x v="26"/>
    <x v="26"/>
    <x v="17"/>
    <x v="17"/>
    <x v="17"/>
    <x v="17"/>
    <x v="17"/>
    <x v="276"/>
    <x v="366"/>
    <x v="84"/>
    <x v="383"/>
    <x v="80"/>
    <x v="348"/>
    <x v="1"/>
    <x v="1"/>
  </r>
  <r>
    <x v="26"/>
    <x v="0"/>
    <x v="0"/>
    <x v="3"/>
    <x v="26"/>
    <x v="26"/>
    <x v="26"/>
    <x v="26"/>
    <x v="26"/>
    <x v="26"/>
    <x v="18"/>
    <x v="281"/>
    <x v="367"/>
    <x v="137"/>
    <x v="384"/>
    <x v="100"/>
    <x v="356"/>
    <x v="1"/>
    <x v="1"/>
  </r>
  <r>
    <x v="26"/>
    <x v="0"/>
    <x v="0"/>
    <x v="3"/>
    <x v="26"/>
    <x v="26"/>
    <x v="16"/>
    <x v="16"/>
    <x v="16"/>
    <x v="16"/>
    <x v="19"/>
    <x v="303"/>
    <x v="368"/>
    <x v="66"/>
    <x v="385"/>
    <x v="177"/>
    <x v="135"/>
    <x v="1"/>
    <x v="1"/>
  </r>
  <r>
    <x v="26"/>
    <x v="0"/>
    <x v="0"/>
    <x v="3"/>
    <x v="26"/>
    <x v="26"/>
    <x v="19"/>
    <x v="19"/>
    <x v="19"/>
    <x v="19"/>
    <x v="19"/>
    <x v="303"/>
    <x v="368"/>
    <x v="145"/>
    <x v="189"/>
    <x v="72"/>
    <x v="357"/>
    <x v="1"/>
    <x v="1"/>
  </r>
  <r>
    <x v="27"/>
    <x v="0"/>
    <x v="0"/>
    <x v="3"/>
    <x v="27"/>
    <x v="27"/>
    <x v="16"/>
    <x v="16"/>
    <x v="16"/>
    <x v="16"/>
    <x v="0"/>
    <x v="127"/>
    <x v="369"/>
    <x v="181"/>
    <x v="386"/>
    <x v="72"/>
    <x v="358"/>
    <x v="1"/>
    <x v="1"/>
  </r>
  <r>
    <x v="27"/>
    <x v="0"/>
    <x v="0"/>
    <x v="3"/>
    <x v="27"/>
    <x v="27"/>
    <x v="0"/>
    <x v="0"/>
    <x v="0"/>
    <x v="0"/>
    <x v="1"/>
    <x v="112"/>
    <x v="370"/>
    <x v="120"/>
    <x v="387"/>
    <x v="180"/>
    <x v="359"/>
    <x v="1"/>
    <x v="1"/>
  </r>
  <r>
    <x v="27"/>
    <x v="0"/>
    <x v="0"/>
    <x v="3"/>
    <x v="27"/>
    <x v="27"/>
    <x v="1"/>
    <x v="1"/>
    <x v="1"/>
    <x v="1"/>
    <x v="2"/>
    <x v="223"/>
    <x v="272"/>
    <x v="105"/>
    <x v="388"/>
    <x v="92"/>
    <x v="131"/>
    <x v="1"/>
    <x v="1"/>
  </r>
  <r>
    <x v="27"/>
    <x v="0"/>
    <x v="0"/>
    <x v="3"/>
    <x v="27"/>
    <x v="27"/>
    <x v="2"/>
    <x v="2"/>
    <x v="2"/>
    <x v="2"/>
    <x v="3"/>
    <x v="87"/>
    <x v="371"/>
    <x v="38"/>
    <x v="389"/>
    <x v="64"/>
    <x v="360"/>
    <x v="1"/>
    <x v="1"/>
  </r>
  <r>
    <x v="27"/>
    <x v="0"/>
    <x v="0"/>
    <x v="3"/>
    <x v="27"/>
    <x v="27"/>
    <x v="4"/>
    <x v="4"/>
    <x v="4"/>
    <x v="4"/>
    <x v="4"/>
    <x v="51"/>
    <x v="372"/>
    <x v="199"/>
    <x v="178"/>
    <x v="53"/>
    <x v="361"/>
    <x v="1"/>
    <x v="1"/>
  </r>
  <r>
    <x v="27"/>
    <x v="0"/>
    <x v="0"/>
    <x v="3"/>
    <x v="27"/>
    <x v="27"/>
    <x v="5"/>
    <x v="5"/>
    <x v="5"/>
    <x v="5"/>
    <x v="5"/>
    <x v="226"/>
    <x v="26"/>
    <x v="52"/>
    <x v="390"/>
    <x v="93"/>
    <x v="32"/>
    <x v="8"/>
    <x v="33"/>
  </r>
  <r>
    <x v="27"/>
    <x v="0"/>
    <x v="0"/>
    <x v="3"/>
    <x v="27"/>
    <x v="27"/>
    <x v="3"/>
    <x v="3"/>
    <x v="3"/>
    <x v="3"/>
    <x v="5"/>
    <x v="226"/>
    <x v="26"/>
    <x v="82"/>
    <x v="391"/>
    <x v="63"/>
    <x v="362"/>
    <x v="1"/>
    <x v="1"/>
  </r>
  <r>
    <x v="27"/>
    <x v="0"/>
    <x v="0"/>
    <x v="3"/>
    <x v="27"/>
    <x v="27"/>
    <x v="10"/>
    <x v="10"/>
    <x v="10"/>
    <x v="10"/>
    <x v="7"/>
    <x v="117"/>
    <x v="373"/>
    <x v="81"/>
    <x v="392"/>
    <x v="103"/>
    <x v="363"/>
    <x v="1"/>
    <x v="1"/>
  </r>
  <r>
    <x v="27"/>
    <x v="0"/>
    <x v="0"/>
    <x v="3"/>
    <x v="27"/>
    <x v="27"/>
    <x v="6"/>
    <x v="6"/>
    <x v="6"/>
    <x v="6"/>
    <x v="8"/>
    <x v="249"/>
    <x v="238"/>
    <x v="134"/>
    <x v="393"/>
    <x v="178"/>
    <x v="331"/>
    <x v="1"/>
    <x v="1"/>
  </r>
  <r>
    <x v="27"/>
    <x v="0"/>
    <x v="0"/>
    <x v="3"/>
    <x v="27"/>
    <x v="27"/>
    <x v="17"/>
    <x v="17"/>
    <x v="17"/>
    <x v="17"/>
    <x v="9"/>
    <x v="118"/>
    <x v="324"/>
    <x v="125"/>
    <x v="394"/>
    <x v="184"/>
    <x v="10"/>
    <x v="8"/>
    <x v="33"/>
  </r>
  <r>
    <x v="27"/>
    <x v="0"/>
    <x v="0"/>
    <x v="3"/>
    <x v="27"/>
    <x v="27"/>
    <x v="9"/>
    <x v="9"/>
    <x v="9"/>
    <x v="9"/>
    <x v="10"/>
    <x v="281"/>
    <x v="374"/>
    <x v="68"/>
    <x v="254"/>
    <x v="87"/>
    <x v="364"/>
    <x v="1"/>
    <x v="1"/>
  </r>
  <r>
    <x v="27"/>
    <x v="0"/>
    <x v="0"/>
    <x v="3"/>
    <x v="27"/>
    <x v="27"/>
    <x v="7"/>
    <x v="7"/>
    <x v="7"/>
    <x v="7"/>
    <x v="11"/>
    <x v="303"/>
    <x v="128"/>
    <x v="108"/>
    <x v="395"/>
    <x v="88"/>
    <x v="256"/>
    <x v="1"/>
    <x v="1"/>
  </r>
  <r>
    <x v="27"/>
    <x v="0"/>
    <x v="0"/>
    <x v="3"/>
    <x v="27"/>
    <x v="27"/>
    <x v="38"/>
    <x v="38"/>
    <x v="38"/>
    <x v="38"/>
    <x v="12"/>
    <x v="119"/>
    <x v="94"/>
    <x v="108"/>
    <x v="395"/>
    <x v="178"/>
    <x v="331"/>
    <x v="1"/>
    <x v="1"/>
  </r>
  <r>
    <x v="27"/>
    <x v="0"/>
    <x v="0"/>
    <x v="3"/>
    <x v="27"/>
    <x v="27"/>
    <x v="39"/>
    <x v="39"/>
    <x v="39"/>
    <x v="39"/>
    <x v="13"/>
    <x v="120"/>
    <x v="199"/>
    <x v="108"/>
    <x v="395"/>
    <x v="187"/>
    <x v="365"/>
    <x v="1"/>
    <x v="1"/>
  </r>
  <r>
    <x v="27"/>
    <x v="0"/>
    <x v="0"/>
    <x v="3"/>
    <x v="27"/>
    <x v="27"/>
    <x v="15"/>
    <x v="15"/>
    <x v="15"/>
    <x v="15"/>
    <x v="13"/>
    <x v="120"/>
    <x v="199"/>
    <x v="84"/>
    <x v="331"/>
    <x v="92"/>
    <x v="131"/>
    <x v="1"/>
    <x v="1"/>
  </r>
  <r>
    <x v="27"/>
    <x v="0"/>
    <x v="0"/>
    <x v="3"/>
    <x v="27"/>
    <x v="27"/>
    <x v="12"/>
    <x v="12"/>
    <x v="12"/>
    <x v="12"/>
    <x v="15"/>
    <x v="292"/>
    <x v="32"/>
    <x v="48"/>
    <x v="285"/>
    <x v="88"/>
    <x v="256"/>
    <x v="1"/>
    <x v="1"/>
  </r>
  <r>
    <x v="27"/>
    <x v="0"/>
    <x v="0"/>
    <x v="3"/>
    <x v="27"/>
    <x v="27"/>
    <x v="8"/>
    <x v="8"/>
    <x v="8"/>
    <x v="8"/>
    <x v="16"/>
    <x v="230"/>
    <x v="336"/>
    <x v="86"/>
    <x v="396"/>
    <x v="188"/>
    <x v="273"/>
    <x v="1"/>
    <x v="1"/>
  </r>
  <r>
    <x v="27"/>
    <x v="0"/>
    <x v="0"/>
    <x v="3"/>
    <x v="27"/>
    <x v="27"/>
    <x v="11"/>
    <x v="11"/>
    <x v="11"/>
    <x v="11"/>
    <x v="17"/>
    <x v="283"/>
    <x v="375"/>
    <x v="68"/>
    <x v="254"/>
    <x v="88"/>
    <x v="256"/>
    <x v="1"/>
    <x v="1"/>
  </r>
  <r>
    <x v="27"/>
    <x v="0"/>
    <x v="0"/>
    <x v="3"/>
    <x v="27"/>
    <x v="27"/>
    <x v="26"/>
    <x v="26"/>
    <x v="26"/>
    <x v="26"/>
    <x v="18"/>
    <x v="240"/>
    <x v="365"/>
    <x v="73"/>
    <x v="397"/>
    <x v="178"/>
    <x v="331"/>
    <x v="1"/>
    <x v="1"/>
  </r>
  <r>
    <x v="27"/>
    <x v="0"/>
    <x v="0"/>
    <x v="3"/>
    <x v="27"/>
    <x v="27"/>
    <x v="13"/>
    <x v="13"/>
    <x v="13"/>
    <x v="13"/>
    <x v="19"/>
    <x v="252"/>
    <x v="157"/>
    <x v="73"/>
    <x v="397"/>
    <x v="180"/>
    <x v="359"/>
    <x v="1"/>
    <x v="1"/>
  </r>
  <r>
    <x v="28"/>
    <x v="0"/>
    <x v="0"/>
    <x v="3"/>
    <x v="28"/>
    <x v="28"/>
    <x v="1"/>
    <x v="1"/>
    <x v="1"/>
    <x v="1"/>
    <x v="0"/>
    <x v="304"/>
    <x v="376"/>
    <x v="242"/>
    <x v="398"/>
    <x v="83"/>
    <x v="98"/>
    <x v="1"/>
    <x v="1"/>
  </r>
  <r>
    <x v="28"/>
    <x v="0"/>
    <x v="0"/>
    <x v="3"/>
    <x v="28"/>
    <x v="28"/>
    <x v="0"/>
    <x v="0"/>
    <x v="0"/>
    <x v="0"/>
    <x v="1"/>
    <x v="225"/>
    <x v="377"/>
    <x v="182"/>
    <x v="399"/>
    <x v="100"/>
    <x v="366"/>
    <x v="1"/>
    <x v="1"/>
  </r>
  <r>
    <x v="28"/>
    <x v="0"/>
    <x v="0"/>
    <x v="3"/>
    <x v="28"/>
    <x v="28"/>
    <x v="2"/>
    <x v="2"/>
    <x v="2"/>
    <x v="2"/>
    <x v="2"/>
    <x v="98"/>
    <x v="378"/>
    <x v="83"/>
    <x v="400"/>
    <x v="56"/>
    <x v="367"/>
    <x v="1"/>
    <x v="1"/>
  </r>
  <r>
    <x v="28"/>
    <x v="0"/>
    <x v="0"/>
    <x v="3"/>
    <x v="28"/>
    <x v="28"/>
    <x v="3"/>
    <x v="3"/>
    <x v="3"/>
    <x v="3"/>
    <x v="3"/>
    <x v="236"/>
    <x v="379"/>
    <x v="52"/>
    <x v="401"/>
    <x v="45"/>
    <x v="368"/>
    <x v="1"/>
    <x v="1"/>
  </r>
  <r>
    <x v="28"/>
    <x v="0"/>
    <x v="0"/>
    <x v="3"/>
    <x v="28"/>
    <x v="28"/>
    <x v="4"/>
    <x v="4"/>
    <x v="4"/>
    <x v="4"/>
    <x v="4"/>
    <x v="112"/>
    <x v="380"/>
    <x v="146"/>
    <x v="402"/>
    <x v="132"/>
    <x v="369"/>
    <x v="1"/>
    <x v="1"/>
  </r>
  <r>
    <x v="28"/>
    <x v="0"/>
    <x v="0"/>
    <x v="3"/>
    <x v="28"/>
    <x v="28"/>
    <x v="5"/>
    <x v="5"/>
    <x v="5"/>
    <x v="5"/>
    <x v="5"/>
    <x v="55"/>
    <x v="381"/>
    <x v="214"/>
    <x v="403"/>
    <x v="176"/>
    <x v="370"/>
    <x v="1"/>
    <x v="1"/>
  </r>
  <r>
    <x v="28"/>
    <x v="0"/>
    <x v="0"/>
    <x v="3"/>
    <x v="28"/>
    <x v="28"/>
    <x v="6"/>
    <x v="6"/>
    <x v="6"/>
    <x v="6"/>
    <x v="6"/>
    <x v="56"/>
    <x v="354"/>
    <x v="199"/>
    <x v="404"/>
    <x v="70"/>
    <x v="371"/>
    <x v="1"/>
    <x v="1"/>
  </r>
  <r>
    <x v="28"/>
    <x v="0"/>
    <x v="0"/>
    <x v="3"/>
    <x v="28"/>
    <x v="28"/>
    <x v="12"/>
    <x v="12"/>
    <x v="12"/>
    <x v="12"/>
    <x v="7"/>
    <x v="211"/>
    <x v="300"/>
    <x v="107"/>
    <x v="29"/>
    <x v="133"/>
    <x v="372"/>
    <x v="1"/>
    <x v="1"/>
  </r>
  <r>
    <x v="28"/>
    <x v="0"/>
    <x v="0"/>
    <x v="3"/>
    <x v="28"/>
    <x v="28"/>
    <x v="11"/>
    <x v="11"/>
    <x v="11"/>
    <x v="11"/>
    <x v="8"/>
    <x v="117"/>
    <x v="91"/>
    <x v="55"/>
    <x v="405"/>
    <x v="113"/>
    <x v="114"/>
    <x v="1"/>
    <x v="1"/>
  </r>
  <r>
    <x v="28"/>
    <x v="0"/>
    <x v="0"/>
    <x v="3"/>
    <x v="28"/>
    <x v="28"/>
    <x v="8"/>
    <x v="8"/>
    <x v="8"/>
    <x v="8"/>
    <x v="9"/>
    <x v="76"/>
    <x v="382"/>
    <x v="51"/>
    <x v="406"/>
    <x v="178"/>
    <x v="373"/>
    <x v="1"/>
    <x v="1"/>
  </r>
  <r>
    <x v="28"/>
    <x v="0"/>
    <x v="0"/>
    <x v="3"/>
    <x v="28"/>
    <x v="28"/>
    <x v="10"/>
    <x v="10"/>
    <x v="10"/>
    <x v="10"/>
    <x v="10"/>
    <x v="251"/>
    <x v="383"/>
    <x v="125"/>
    <x v="407"/>
    <x v="133"/>
    <x v="372"/>
    <x v="1"/>
    <x v="1"/>
  </r>
  <r>
    <x v="28"/>
    <x v="0"/>
    <x v="0"/>
    <x v="3"/>
    <x v="28"/>
    <x v="28"/>
    <x v="9"/>
    <x v="9"/>
    <x v="9"/>
    <x v="9"/>
    <x v="11"/>
    <x v="145"/>
    <x v="11"/>
    <x v="73"/>
    <x v="250"/>
    <x v="70"/>
    <x v="371"/>
    <x v="1"/>
    <x v="1"/>
  </r>
  <r>
    <x v="28"/>
    <x v="0"/>
    <x v="0"/>
    <x v="3"/>
    <x v="28"/>
    <x v="28"/>
    <x v="7"/>
    <x v="7"/>
    <x v="7"/>
    <x v="7"/>
    <x v="12"/>
    <x v="265"/>
    <x v="93"/>
    <x v="125"/>
    <x v="407"/>
    <x v="176"/>
    <x v="370"/>
    <x v="1"/>
    <x v="1"/>
  </r>
  <r>
    <x v="28"/>
    <x v="0"/>
    <x v="0"/>
    <x v="3"/>
    <x v="28"/>
    <x v="28"/>
    <x v="13"/>
    <x v="13"/>
    <x v="13"/>
    <x v="13"/>
    <x v="13"/>
    <x v="119"/>
    <x v="384"/>
    <x v="146"/>
    <x v="402"/>
    <x v="87"/>
    <x v="374"/>
    <x v="1"/>
    <x v="1"/>
  </r>
  <r>
    <x v="28"/>
    <x v="0"/>
    <x v="0"/>
    <x v="3"/>
    <x v="28"/>
    <x v="28"/>
    <x v="15"/>
    <x v="15"/>
    <x v="15"/>
    <x v="15"/>
    <x v="14"/>
    <x v="120"/>
    <x v="335"/>
    <x v="74"/>
    <x v="304"/>
    <x v="70"/>
    <x v="371"/>
    <x v="1"/>
    <x v="1"/>
  </r>
  <r>
    <x v="28"/>
    <x v="0"/>
    <x v="0"/>
    <x v="3"/>
    <x v="28"/>
    <x v="28"/>
    <x v="19"/>
    <x v="19"/>
    <x v="19"/>
    <x v="19"/>
    <x v="15"/>
    <x v="131"/>
    <x v="175"/>
    <x v="225"/>
    <x v="332"/>
    <x v="99"/>
    <x v="301"/>
    <x v="1"/>
    <x v="1"/>
  </r>
  <r>
    <x v="28"/>
    <x v="0"/>
    <x v="0"/>
    <x v="3"/>
    <x v="28"/>
    <x v="28"/>
    <x v="20"/>
    <x v="20"/>
    <x v="20"/>
    <x v="20"/>
    <x v="16"/>
    <x v="230"/>
    <x v="146"/>
    <x v="71"/>
    <x v="408"/>
    <x v="108"/>
    <x v="339"/>
    <x v="4"/>
    <x v="18"/>
  </r>
  <r>
    <x v="28"/>
    <x v="0"/>
    <x v="0"/>
    <x v="3"/>
    <x v="28"/>
    <x v="28"/>
    <x v="18"/>
    <x v="18"/>
    <x v="18"/>
    <x v="18"/>
    <x v="17"/>
    <x v="283"/>
    <x v="14"/>
    <x v="56"/>
    <x v="100"/>
    <x v="192"/>
    <x v="51"/>
    <x v="1"/>
    <x v="1"/>
  </r>
  <r>
    <x v="28"/>
    <x v="0"/>
    <x v="0"/>
    <x v="3"/>
    <x v="28"/>
    <x v="28"/>
    <x v="32"/>
    <x v="32"/>
    <x v="32"/>
    <x v="32"/>
    <x v="18"/>
    <x v="232"/>
    <x v="15"/>
    <x v="84"/>
    <x v="409"/>
    <x v="178"/>
    <x v="373"/>
    <x v="1"/>
    <x v="1"/>
  </r>
  <r>
    <x v="28"/>
    <x v="0"/>
    <x v="0"/>
    <x v="3"/>
    <x v="28"/>
    <x v="28"/>
    <x v="14"/>
    <x v="14"/>
    <x v="14"/>
    <x v="14"/>
    <x v="19"/>
    <x v="305"/>
    <x v="203"/>
    <x v="145"/>
    <x v="410"/>
    <x v="103"/>
    <x v="303"/>
    <x v="1"/>
    <x v="1"/>
  </r>
  <r>
    <x v="28"/>
    <x v="0"/>
    <x v="0"/>
    <x v="3"/>
    <x v="28"/>
    <x v="28"/>
    <x v="23"/>
    <x v="23"/>
    <x v="23"/>
    <x v="23"/>
    <x v="19"/>
    <x v="305"/>
    <x v="203"/>
    <x v="225"/>
    <x v="332"/>
    <x v="87"/>
    <x v="374"/>
    <x v="1"/>
    <x v="1"/>
  </r>
  <r>
    <x v="29"/>
    <x v="0"/>
    <x v="0"/>
    <x v="3"/>
    <x v="29"/>
    <x v="29"/>
    <x v="2"/>
    <x v="2"/>
    <x v="2"/>
    <x v="2"/>
    <x v="0"/>
    <x v="87"/>
    <x v="385"/>
    <x v="199"/>
    <x v="411"/>
    <x v="89"/>
    <x v="375"/>
    <x v="1"/>
    <x v="38"/>
  </r>
  <r>
    <x v="29"/>
    <x v="0"/>
    <x v="0"/>
    <x v="3"/>
    <x v="29"/>
    <x v="29"/>
    <x v="1"/>
    <x v="1"/>
    <x v="1"/>
    <x v="1"/>
    <x v="1"/>
    <x v="306"/>
    <x v="386"/>
    <x v="143"/>
    <x v="412"/>
    <x v="87"/>
    <x v="207"/>
    <x v="1"/>
    <x v="38"/>
  </r>
  <r>
    <x v="29"/>
    <x v="0"/>
    <x v="0"/>
    <x v="3"/>
    <x v="29"/>
    <x v="29"/>
    <x v="16"/>
    <x v="16"/>
    <x v="16"/>
    <x v="16"/>
    <x v="2"/>
    <x v="113"/>
    <x v="387"/>
    <x v="115"/>
    <x v="413"/>
    <x v="55"/>
    <x v="376"/>
    <x v="1"/>
    <x v="38"/>
  </r>
  <r>
    <x v="29"/>
    <x v="0"/>
    <x v="0"/>
    <x v="3"/>
    <x v="29"/>
    <x v="29"/>
    <x v="4"/>
    <x v="4"/>
    <x v="4"/>
    <x v="4"/>
    <x v="3"/>
    <x v="70"/>
    <x v="361"/>
    <x v="54"/>
    <x v="414"/>
    <x v="89"/>
    <x v="375"/>
    <x v="1"/>
    <x v="38"/>
  </r>
  <r>
    <x v="29"/>
    <x v="0"/>
    <x v="0"/>
    <x v="3"/>
    <x v="29"/>
    <x v="29"/>
    <x v="0"/>
    <x v="0"/>
    <x v="0"/>
    <x v="0"/>
    <x v="4"/>
    <x v="114"/>
    <x v="388"/>
    <x v="136"/>
    <x v="415"/>
    <x v="178"/>
    <x v="103"/>
    <x v="1"/>
    <x v="38"/>
  </r>
  <r>
    <x v="29"/>
    <x v="0"/>
    <x v="0"/>
    <x v="3"/>
    <x v="29"/>
    <x v="29"/>
    <x v="26"/>
    <x v="26"/>
    <x v="26"/>
    <x v="26"/>
    <x v="5"/>
    <x v="74"/>
    <x v="389"/>
    <x v="50"/>
    <x v="391"/>
    <x v="72"/>
    <x v="81"/>
    <x v="1"/>
    <x v="38"/>
  </r>
  <r>
    <x v="29"/>
    <x v="0"/>
    <x v="0"/>
    <x v="3"/>
    <x v="29"/>
    <x v="29"/>
    <x v="10"/>
    <x v="10"/>
    <x v="10"/>
    <x v="10"/>
    <x v="6"/>
    <x v="117"/>
    <x v="109"/>
    <x v="49"/>
    <x v="416"/>
    <x v="101"/>
    <x v="26"/>
    <x v="1"/>
    <x v="38"/>
  </r>
  <r>
    <x v="29"/>
    <x v="0"/>
    <x v="0"/>
    <x v="3"/>
    <x v="29"/>
    <x v="29"/>
    <x v="9"/>
    <x v="9"/>
    <x v="9"/>
    <x v="9"/>
    <x v="7"/>
    <x v="76"/>
    <x v="390"/>
    <x v="194"/>
    <x v="3"/>
    <x v="88"/>
    <x v="377"/>
    <x v="1"/>
    <x v="38"/>
  </r>
  <r>
    <x v="29"/>
    <x v="0"/>
    <x v="0"/>
    <x v="3"/>
    <x v="29"/>
    <x v="29"/>
    <x v="5"/>
    <x v="5"/>
    <x v="5"/>
    <x v="5"/>
    <x v="7"/>
    <x v="76"/>
    <x v="390"/>
    <x v="184"/>
    <x v="417"/>
    <x v="175"/>
    <x v="378"/>
    <x v="1"/>
    <x v="38"/>
  </r>
  <r>
    <x v="29"/>
    <x v="0"/>
    <x v="0"/>
    <x v="3"/>
    <x v="29"/>
    <x v="29"/>
    <x v="11"/>
    <x v="11"/>
    <x v="11"/>
    <x v="11"/>
    <x v="9"/>
    <x v="249"/>
    <x v="391"/>
    <x v="85"/>
    <x v="418"/>
    <x v="177"/>
    <x v="379"/>
    <x v="1"/>
    <x v="38"/>
  </r>
  <r>
    <x v="29"/>
    <x v="0"/>
    <x v="0"/>
    <x v="3"/>
    <x v="29"/>
    <x v="29"/>
    <x v="36"/>
    <x v="36"/>
    <x v="36"/>
    <x v="36"/>
    <x v="10"/>
    <x v="265"/>
    <x v="9"/>
    <x v="124"/>
    <x v="419"/>
    <x v="103"/>
    <x v="0"/>
    <x v="1"/>
    <x v="38"/>
  </r>
  <r>
    <x v="29"/>
    <x v="0"/>
    <x v="0"/>
    <x v="3"/>
    <x v="29"/>
    <x v="29"/>
    <x v="7"/>
    <x v="7"/>
    <x v="7"/>
    <x v="7"/>
    <x v="11"/>
    <x v="276"/>
    <x v="382"/>
    <x v="84"/>
    <x v="302"/>
    <x v="80"/>
    <x v="380"/>
    <x v="1"/>
    <x v="38"/>
  </r>
  <r>
    <x v="29"/>
    <x v="0"/>
    <x v="0"/>
    <x v="3"/>
    <x v="29"/>
    <x v="29"/>
    <x v="41"/>
    <x v="41"/>
    <x v="41"/>
    <x v="41"/>
    <x v="12"/>
    <x v="303"/>
    <x v="324"/>
    <x v="68"/>
    <x v="420"/>
    <x v="92"/>
    <x v="58"/>
    <x v="1"/>
    <x v="38"/>
  </r>
  <r>
    <x v="29"/>
    <x v="0"/>
    <x v="0"/>
    <x v="3"/>
    <x v="29"/>
    <x v="29"/>
    <x v="42"/>
    <x v="42"/>
    <x v="42"/>
    <x v="42"/>
    <x v="13"/>
    <x v="131"/>
    <x v="392"/>
    <x v="73"/>
    <x v="421"/>
    <x v="101"/>
    <x v="26"/>
    <x v="1"/>
    <x v="38"/>
  </r>
  <r>
    <x v="29"/>
    <x v="0"/>
    <x v="0"/>
    <x v="3"/>
    <x v="29"/>
    <x v="29"/>
    <x v="43"/>
    <x v="43"/>
    <x v="43"/>
    <x v="43"/>
    <x v="14"/>
    <x v="231"/>
    <x v="393"/>
    <x v="53"/>
    <x v="123"/>
    <x v="184"/>
    <x v="57"/>
    <x v="1"/>
    <x v="38"/>
  </r>
  <r>
    <x v="29"/>
    <x v="0"/>
    <x v="0"/>
    <x v="3"/>
    <x v="29"/>
    <x v="29"/>
    <x v="13"/>
    <x v="13"/>
    <x v="13"/>
    <x v="13"/>
    <x v="14"/>
    <x v="231"/>
    <x v="393"/>
    <x v="55"/>
    <x v="422"/>
    <x v="176"/>
    <x v="381"/>
    <x v="1"/>
    <x v="38"/>
  </r>
  <r>
    <x v="29"/>
    <x v="0"/>
    <x v="0"/>
    <x v="3"/>
    <x v="29"/>
    <x v="29"/>
    <x v="12"/>
    <x v="12"/>
    <x v="12"/>
    <x v="12"/>
    <x v="16"/>
    <x v="232"/>
    <x v="14"/>
    <x v="68"/>
    <x v="420"/>
    <x v="181"/>
    <x v="191"/>
    <x v="1"/>
    <x v="38"/>
  </r>
  <r>
    <x v="29"/>
    <x v="0"/>
    <x v="0"/>
    <x v="3"/>
    <x v="29"/>
    <x v="29"/>
    <x v="6"/>
    <x v="6"/>
    <x v="6"/>
    <x v="6"/>
    <x v="16"/>
    <x v="232"/>
    <x v="14"/>
    <x v="66"/>
    <x v="423"/>
    <x v="88"/>
    <x v="377"/>
    <x v="1"/>
    <x v="38"/>
  </r>
  <r>
    <x v="29"/>
    <x v="0"/>
    <x v="0"/>
    <x v="3"/>
    <x v="29"/>
    <x v="29"/>
    <x v="8"/>
    <x v="8"/>
    <x v="8"/>
    <x v="8"/>
    <x v="16"/>
    <x v="232"/>
    <x v="14"/>
    <x v="85"/>
    <x v="418"/>
    <x v="114"/>
    <x v="382"/>
    <x v="1"/>
    <x v="38"/>
  </r>
  <r>
    <x v="29"/>
    <x v="0"/>
    <x v="0"/>
    <x v="3"/>
    <x v="29"/>
    <x v="29"/>
    <x v="15"/>
    <x v="15"/>
    <x v="15"/>
    <x v="15"/>
    <x v="19"/>
    <x v="297"/>
    <x v="394"/>
    <x v="58"/>
    <x v="14"/>
    <x v="184"/>
    <x v="57"/>
    <x v="1"/>
    <x v="38"/>
  </r>
  <r>
    <x v="29"/>
    <x v="0"/>
    <x v="0"/>
    <x v="3"/>
    <x v="29"/>
    <x v="29"/>
    <x v="17"/>
    <x v="17"/>
    <x v="17"/>
    <x v="17"/>
    <x v="19"/>
    <x v="297"/>
    <x v="394"/>
    <x v="135"/>
    <x v="330"/>
    <x v="77"/>
    <x v="134"/>
    <x v="1"/>
    <x v="38"/>
  </r>
  <r>
    <x v="29"/>
    <x v="0"/>
    <x v="0"/>
    <x v="3"/>
    <x v="29"/>
    <x v="29"/>
    <x v="32"/>
    <x v="32"/>
    <x v="32"/>
    <x v="32"/>
    <x v="19"/>
    <x v="297"/>
    <x v="394"/>
    <x v="84"/>
    <x v="302"/>
    <x v="114"/>
    <x v="382"/>
    <x v="1"/>
    <x v="38"/>
  </r>
  <r>
    <x v="30"/>
    <x v="0"/>
    <x v="0"/>
    <x v="3"/>
    <x v="30"/>
    <x v="30"/>
    <x v="4"/>
    <x v="4"/>
    <x v="4"/>
    <x v="4"/>
    <x v="0"/>
    <x v="307"/>
    <x v="395"/>
    <x v="243"/>
    <x v="424"/>
    <x v="54"/>
    <x v="383"/>
    <x v="1"/>
    <x v="1"/>
  </r>
  <r>
    <x v="30"/>
    <x v="0"/>
    <x v="0"/>
    <x v="3"/>
    <x v="30"/>
    <x v="30"/>
    <x v="2"/>
    <x v="2"/>
    <x v="2"/>
    <x v="2"/>
    <x v="1"/>
    <x v="85"/>
    <x v="396"/>
    <x v="102"/>
    <x v="425"/>
    <x v="59"/>
    <x v="384"/>
    <x v="1"/>
    <x v="1"/>
  </r>
  <r>
    <x v="30"/>
    <x v="0"/>
    <x v="0"/>
    <x v="3"/>
    <x v="30"/>
    <x v="30"/>
    <x v="0"/>
    <x v="0"/>
    <x v="0"/>
    <x v="0"/>
    <x v="2"/>
    <x v="264"/>
    <x v="397"/>
    <x v="181"/>
    <x v="426"/>
    <x v="88"/>
    <x v="319"/>
    <x v="1"/>
    <x v="1"/>
  </r>
  <r>
    <x v="30"/>
    <x v="0"/>
    <x v="0"/>
    <x v="3"/>
    <x v="30"/>
    <x v="30"/>
    <x v="5"/>
    <x v="5"/>
    <x v="5"/>
    <x v="5"/>
    <x v="3"/>
    <x v="237"/>
    <x v="398"/>
    <x v="195"/>
    <x v="427"/>
    <x v="192"/>
    <x v="213"/>
    <x v="1"/>
    <x v="1"/>
  </r>
  <r>
    <x v="30"/>
    <x v="0"/>
    <x v="0"/>
    <x v="3"/>
    <x v="30"/>
    <x v="30"/>
    <x v="1"/>
    <x v="1"/>
    <x v="1"/>
    <x v="1"/>
    <x v="4"/>
    <x v="288"/>
    <x v="399"/>
    <x v="180"/>
    <x v="428"/>
    <x v="88"/>
    <x v="319"/>
    <x v="1"/>
    <x v="1"/>
  </r>
  <r>
    <x v="30"/>
    <x v="0"/>
    <x v="0"/>
    <x v="3"/>
    <x v="30"/>
    <x v="30"/>
    <x v="9"/>
    <x v="9"/>
    <x v="9"/>
    <x v="9"/>
    <x v="5"/>
    <x v="308"/>
    <x v="400"/>
    <x v="96"/>
    <x v="429"/>
    <x v="88"/>
    <x v="319"/>
    <x v="1"/>
    <x v="1"/>
  </r>
  <r>
    <x v="30"/>
    <x v="0"/>
    <x v="0"/>
    <x v="3"/>
    <x v="30"/>
    <x v="30"/>
    <x v="44"/>
    <x v="44"/>
    <x v="44"/>
    <x v="44"/>
    <x v="6"/>
    <x v="142"/>
    <x v="401"/>
    <x v="96"/>
    <x v="429"/>
    <x v="180"/>
    <x v="221"/>
    <x v="1"/>
    <x v="1"/>
  </r>
  <r>
    <x v="30"/>
    <x v="0"/>
    <x v="0"/>
    <x v="3"/>
    <x v="30"/>
    <x v="30"/>
    <x v="3"/>
    <x v="3"/>
    <x v="3"/>
    <x v="3"/>
    <x v="7"/>
    <x v="130"/>
    <x v="402"/>
    <x v="52"/>
    <x v="430"/>
    <x v="175"/>
    <x v="51"/>
    <x v="1"/>
    <x v="1"/>
  </r>
  <r>
    <x v="30"/>
    <x v="0"/>
    <x v="0"/>
    <x v="3"/>
    <x v="30"/>
    <x v="30"/>
    <x v="11"/>
    <x v="11"/>
    <x v="11"/>
    <x v="11"/>
    <x v="8"/>
    <x v="117"/>
    <x v="403"/>
    <x v="194"/>
    <x v="431"/>
    <x v="93"/>
    <x v="35"/>
    <x v="1"/>
    <x v="1"/>
  </r>
  <r>
    <x v="30"/>
    <x v="0"/>
    <x v="0"/>
    <x v="3"/>
    <x v="30"/>
    <x v="30"/>
    <x v="10"/>
    <x v="10"/>
    <x v="10"/>
    <x v="10"/>
    <x v="9"/>
    <x v="249"/>
    <x v="8"/>
    <x v="82"/>
    <x v="224"/>
    <x v="184"/>
    <x v="222"/>
    <x v="1"/>
    <x v="1"/>
  </r>
  <r>
    <x v="30"/>
    <x v="0"/>
    <x v="0"/>
    <x v="3"/>
    <x v="30"/>
    <x v="30"/>
    <x v="7"/>
    <x v="7"/>
    <x v="7"/>
    <x v="7"/>
    <x v="10"/>
    <x v="77"/>
    <x v="153"/>
    <x v="82"/>
    <x v="224"/>
    <x v="77"/>
    <x v="169"/>
    <x v="1"/>
    <x v="1"/>
  </r>
  <r>
    <x v="30"/>
    <x v="0"/>
    <x v="0"/>
    <x v="3"/>
    <x v="30"/>
    <x v="30"/>
    <x v="6"/>
    <x v="6"/>
    <x v="6"/>
    <x v="6"/>
    <x v="11"/>
    <x v="281"/>
    <x v="404"/>
    <x v="97"/>
    <x v="286"/>
    <x v="175"/>
    <x v="51"/>
    <x v="4"/>
    <x v="20"/>
  </r>
  <r>
    <x v="30"/>
    <x v="0"/>
    <x v="0"/>
    <x v="3"/>
    <x v="30"/>
    <x v="30"/>
    <x v="12"/>
    <x v="12"/>
    <x v="12"/>
    <x v="12"/>
    <x v="12"/>
    <x v="240"/>
    <x v="375"/>
    <x v="85"/>
    <x v="432"/>
    <x v="181"/>
    <x v="385"/>
    <x v="1"/>
    <x v="1"/>
  </r>
  <r>
    <x v="30"/>
    <x v="0"/>
    <x v="0"/>
    <x v="3"/>
    <x v="30"/>
    <x v="30"/>
    <x v="8"/>
    <x v="8"/>
    <x v="8"/>
    <x v="8"/>
    <x v="13"/>
    <x v="232"/>
    <x v="405"/>
    <x v="85"/>
    <x v="432"/>
    <x v="114"/>
    <x v="386"/>
    <x v="1"/>
    <x v="1"/>
  </r>
  <r>
    <x v="30"/>
    <x v="0"/>
    <x v="0"/>
    <x v="3"/>
    <x v="30"/>
    <x v="30"/>
    <x v="34"/>
    <x v="34"/>
    <x v="34"/>
    <x v="34"/>
    <x v="14"/>
    <x v="233"/>
    <x v="176"/>
    <x v="56"/>
    <x v="240"/>
    <x v="101"/>
    <x v="89"/>
    <x v="1"/>
    <x v="1"/>
  </r>
  <r>
    <x v="30"/>
    <x v="0"/>
    <x v="0"/>
    <x v="3"/>
    <x v="30"/>
    <x v="30"/>
    <x v="13"/>
    <x v="13"/>
    <x v="13"/>
    <x v="13"/>
    <x v="15"/>
    <x v="234"/>
    <x v="406"/>
    <x v="55"/>
    <x v="49"/>
    <x v="93"/>
    <x v="35"/>
    <x v="1"/>
    <x v="1"/>
  </r>
  <r>
    <x v="30"/>
    <x v="0"/>
    <x v="0"/>
    <x v="3"/>
    <x v="30"/>
    <x v="30"/>
    <x v="38"/>
    <x v="38"/>
    <x v="38"/>
    <x v="38"/>
    <x v="16"/>
    <x v="305"/>
    <x v="16"/>
    <x v="53"/>
    <x v="433"/>
    <x v="187"/>
    <x v="293"/>
    <x v="1"/>
    <x v="1"/>
  </r>
  <r>
    <x v="30"/>
    <x v="0"/>
    <x v="0"/>
    <x v="3"/>
    <x v="30"/>
    <x v="30"/>
    <x v="14"/>
    <x v="14"/>
    <x v="14"/>
    <x v="14"/>
    <x v="16"/>
    <x v="305"/>
    <x v="16"/>
    <x v="72"/>
    <x v="434"/>
    <x v="175"/>
    <x v="51"/>
    <x v="1"/>
    <x v="1"/>
  </r>
  <r>
    <x v="30"/>
    <x v="0"/>
    <x v="0"/>
    <x v="3"/>
    <x v="30"/>
    <x v="30"/>
    <x v="18"/>
    <x v="18"/>
    <x v="18"/>
    <x v="18"/>
    <x v="16"/>
    <x v="305"/>
    <x v="16"/>
    <x v="55"/>
    <x v="49"/>
    <x v="88"/>
    <x v="319"/>
    <x v="1"/>
    <x v="1"/>
  </r>
  <r>
    <x v="30"/>
    <x v="0"/>
    <x v="0"/>
    <x v="3"/>
    <x v="30"/>
    <x v="30"/>
    <x v="15"/>
    <x v="15"/>
    <x v="15"/>
    <x v="15"/>
    <x v="19"/>
    <x v="254"/>
    <x v="407"/>
    <x v="71"/>
    <x v="173"/>
    <x v="184"/>
    <x v="222"/>
    <x v="1"/>
    <x v="1"/>
  </r>
  <r>
    <x v="31"/>
    <x v="0"/>
    <x v="0"/>
    <x v="3"/>
    <x v="31"/>
    <x v="31"/>
    <x v="2"/>
    <x v="2"/>
    <x v="2"/>
    <x v="2"/>
    <x v="0"/>
    <x v="52"/>
    <x v="408"/>
    <x v="224"/>
    <x v="435"/>
    <x v="71"/>
    <x v="387"/>
    <x v="1"/>
    <x v="1"/>
  </r>
  <r>
    <x v="31"/>
    <x v="0"/>
    <x v="0"/>
    <x v="3"/>
    <x v="31"/>
    <x v="31"/>
    <x v="4"/>
    <x v="4"/>
    <x v="4"/>
    <x v="4"/>
    <x v="1"/>
    <x v="89"/>
    <x v="321"/>
    <x v="70"/>
    <x v="325"/>
    <x v="59"/>
    <x v="388"/>
    <x v="1"/>
    <x v="1"/>
  </r>
  <r>
    <x v="31"/>
    <x v="0"/>
    <x v="0"/>
    <x v="3"/>
    <x v="31"/>
    <x v="31"/>
    <x v="1"/>
    <x v="1"/>
    <x v="1"/>
    <x v="1"/>
    <x v="2"/>
    <x v="91"/>
    <x v="409"/>
    <x v="243"/>
    <x v="436"/>
    <x v="88"/>
    <x v="15"/>
    <x v="1"/>
    <x v="1"/>
  </r>
  <r>
    <x v="31"/>
    <x v="0"/>
    <x v="0"/>
    <x v="3"/>
    <x v="31"/>
    <x v="31"/>
    <x v="0"/>
    <x v="0"/>
    <x v="0"/>
    <x v="0"/>
    <x v="3"/>
    <x v="211"/>
    <x v="410"/>
    <x v="173"/>
    <x v="437"/>
    <x v="180"/>
    <x v="233"/>
    <x v="1"/>
    <x v="1"/>
  </r>
  <r>
    <x v="31"/>
    <x v="0"/>
    <x v="0"/>
    <x v="3"/>
    <x v="31"/>
    <x v="31"/>
    <x v="33"/>
    <x v="33"/>
    <x v="33"/>
    <x v="33"/>
    <x v="4"/>
    <x v="74"/>
    <x v="411"/>
    <x v="121"/>
    <x v="438"/>
    <x v="77"/>
    <x v="257"/>
    <x v="1"/>
    <x v="1"/>
  </r>
  <r>
    <x v="31"/>
    <x v="0"/>
    <x v="0"/>
    <x v="3"/>
    <x v="31"/>
    <x v="31"/>
    <x v="9"/>
    <x v="9"/>
    <x v="9"/>
    <x v="9"/>
    <x v="5"/>
    <x v="117"/>
    <x v="412"/>
    <x v="107"/>
    <x v="439"/>
    <x v="88"/>
    <x v="15"/>
    <x v="1"/>
    <x v="1"/>
  </r>
  <r>
    <x v="31"/>
    <x v="0"/>
    <x v="0"/>
    <x v="3"/>
    <x v="31"/>
    <x v="31"/>
    <x v="5"/>
    <x v="5"/>
    <x v="5"/>
    <x v="5"/>
    <x v="6"/>
    <x v="76"/>
    <x v="413"/>
    <x v="107"/>
    <x v="439"/>
    <x v="180"/>
    <x v="233"/>
    <x v="1"/>
    <x v="1"/>
  </r>
  <r>
    <x v="31"/>
    <x v="0"/>
    <x v="0"/>
    <x v="3"/>
    <x v="31"/>
    <x v="31"/>
    <x v="6"/>
    <x v="6"/>
    <x v="6"/>
    <x v="6"/>
    <x v="7"/>
    <x v="276"/>
    <x v="414"/>
    <x v="49"/>
    <x v="113"/>
    <x v="179"/>
    <x v="389"/>
    <x v="4"/>
    <x v="22"/>
  </r>
  <r>
    <x v="31"/>
    <x v="0"/>
    <x v="0"/>
    <x v="3"/>
    <x v="31"/>
    <x v="31"/>
    <x v="3"/>
    <x v="3"/>
    <x v="3"/>
    <x v="3"/>
    <x v="8"/>
    <x v="281"/>
    <x v="251"/>
    <x v="82"/>
    <x v="440"/>
    <x v="178"/>
    <x v="390"/>
    <x v="1"/>
    <x v="1"/>
  </r>
  <r>
    <x v="31"/>
    <x v="0"/>
    <x v="0"/>
    <x v="3"/>
    <x v="31"/>
    <x v="31"/>
    <x v="10"/>
    <x v="10"/>
    <x v="10"/>
    <x v="10"/>
    <x v="9"/>
    <x v="303"/>
    <x v="343"/>
    <x v="97"/>
    <x v="441"/>
    <x v="175"/>
    <x v="5"/>
    <x v="1"/>
    <x v="1"/>
  </r>
  <r>
    <x v="31"/>
    <x v="0"/>
    <x v="0"/>
    <x v="3"/>
    <x v="31"/>
    <x v="31"/>
    <x v="11"/>
    <x v="11"/>
    <x v="11"/>
    <x v="11"/>
    <x v="10"/>
    <x v="292"/>
    <x v="316"/>
    <x v="39"/>
    <x v="442"/>
    <x v="93"/>
    <x v="153"/>
    <x v="1"/>
    <x v="1"/>
  </r>
  <r>
    <x v="31"/>
    <x v="0"/>
    <x v="0"/>
    <x v="3"/>
    <x v="31"/>
    <x v="31"/>
    <x v="7"/>
    <x v="7"/>
    <x v="7"/>
    <x v="7"/>
    <x v="11"/>
    <x v="230"/>
    <x v="90"/>
    <x v="85"/>
    <x v="443"/>
    <x v="88"/>
    <x v="15"/>
    <x v="1"/>
    <x v="1"/>
  </r>
  <r>
    <x v="31"/>
    <x v="0"/>
    <x v="0"/>
    <x v="3"/>
    <x v="31"/>
    <x v="31"/>
    <x v="16"/>
    <x v="16"/>
    <x v="16"/>
    <x v="16"/>
    <x v="12"/>
    <x v="241"/>
    <x v="364"/>
    <x v="72"/>
    <x v="422"/>
    <x v="93"/>
    <x v="153"/>
    <x v="1"/>
    <x v="1"/>
  </r>
  <r>
    <x v="31"/>
    <x v="0"/>
    <x v="0"/>
    <x v="3"/>
    <x v="31"/>
    <x v="31"/>
    <x v="13"/>
    <x v="13"/>
    <x v="13"/>
    <x v="13"/>
    <x v="13"/>
    <x v="305"/>
    <x v="240"/>
    <x v="66"/>
    <x v="444"/>
    <x v="181"/>
    <x v="347"/>
    <x v="1"/>
    <x v="1"/>
  </r>
  <r>
    <x v="31"/>
    <x v="0"/>
    <x v="0"/>
    <x v="3"/>
    <x v="31"/>
    <x v="31"/>
    <x v="8"/>
    <x v="8"/>
    <x v="8"/>
    <x v="8"/>
    <x v="13"/>
    <x v="305"/>
    <x v="240"/>
    <x v="146"/>
    <x v="445"/>
    <x v="114"/>
    <x v="391"/>
    <x v="1"/>
    <x v="1"/>
  </r>
  <r>
    <x v="31"/>
    <x v="0"/>
    <x v="0"/>
    <x v="3"/>
    <x v="31"/>
    <x v="31"/>
    <x v="34"/>
    <x v="34"/>
    <x v="34"/>
    <x v="34"/>
    <x v="15"/>
    <x v="277"/>
    <x v="99"/>
    <x v="72"/>
    <x v="422"/>
    <x v="178"/>
    <x v="390"/>
    <x v="1"/>
    <x v="1"/>
  </r>
  <r>
    <x v="31"/>
    <x v="0"/>
    <x v="0"/>
    <x v="3"/>
    <x v="31"/>
    <x v="31"/>
    <x v="12"/>
    <x v="12"/>
    <x v="12"/>
    <x v="12"/>
    <x v="15"/>
    <x v="277"/>
    <x v="99"/>
    <x v="66"/>
    <x v="444"/>
    <x v="114"/>
    <x v="391"/>
    <x v="1"/>
    <x v="1"/>
  </r>
  <r>
    <x v="31"/>
    <x v="0"/>
    <x v="0"/>
    <x v="3"/>
    <x v="31"/>
    <x v="31"/>
    <x v="36"/>
    <x v="36"/>
    <x v="36"/>
    <x v="36"/>
    <x v="17"/>
    <x v="253"/>
    <x v="415"/>
    <x v="55"/>
    <x v="446"/>
    <x v="187"/>
    <x v="392"/>
    <x v="1"/>
    <x v="1"/>
  </r>
  <r>
    <x v="31"/>
    <x v="0"/>
    <x v="0"/>
    <x v="3"/>
    <x v="31"/>
    <x v="31"/>
    <x v="32"/>
    <x v="32"/>
    <x v="32"/>
    <x v="32"/>
    <x v="18"/>
    <x v="255"/>
    <x v="190"/>
    <x v="72"/>
    <x v="422"/>
    <x v="181"/>
    <x v="347"/>
    <x v="1"/>
    <x v="1"/>
  </r>
  <r>
    <x v="31"/>
    <x v="0"/>
    <x v="0"/>
    <x v="3"/>
    <x v="31"/>
    <x v="31"/>
    <x v="39"/>
    <x v="39"/>
    <x v="39"/>
    <x v="39"/>
    <x v="19"/>
    <x v="256"/>
    <x v="416"/>
    <x v="135"/>
    <x v="240"/>
    <x v="187"/>
    <x v="392"/>
    <x v="1"/>
    <x v="1"/>
  </r>
  <r>
    <x v="32"/>
    <x v="0"/>
    <x v="0"/>
    <x v="3"/>
    <x v="32"/>
    <x v="32"/>
    <x v="4"/>
    <x v="4"/>
    <x v="4"/>
    <x v="4"/>
    <x v="0"/>
    <x v="309"/>
    <x v="417"/>
    <x v="244"/>
    <x v="447"/>
    <x v="199"/>
    <x v="393"/>
    <x v="1"/>
    <x v="1"/>
  </r>
  <r>
    <x v="32"/>
    <x v="0"/>
    <x v="0"/>
    <x v="3"/>
    <x v="32"/>
    <x v="32"/>
    <x v="1"/>
    <x v="1"/>
    <x v="1"/>
    <x v="1"/>
    <x v="1"/>
    <x v="46"/>
    <x v="418"/>
    <x v="245"/>
    <x v="448"/>
    <x v="92"/>
    <x v="26"/>
    <x v="1"/>
    <x v="1"/>
  </r>
  <r>
    <x v="32"/>
    <x v="0"/>
    <x v="0"/>
    <x v="3"/>
    <x v="32"/>
    <x v="32"/>
    <x v="0"/>
    <x v="0"/>
    <x v="0"/>
    <x v="0"/>
    <x v="2"/>
    <x v="310"/>
    <x v="419"/>
    <x v="154"/>
    <x v="449"/>
    <x v="77"/>
    <x v="378"/>
    <x v="4"/>
    <x v="31"/>
  </r>
  <r>
    <x v="32"/>
    <x v="0"/>
    <x v="0"/>
    <x v="3"/>
    <x v="32"/>
    <x v="32"/>
    <x v="2"/>
    <x v="2"/>
    <x v="2"/>
    <x v="2"/>
    <x v="3"/>
    <x v="311"/>
    <x v="420"/>
    <x v="222"/>
    <x v="148"/>
    <x v="106"/>
    <x v="394"/>
    <x v="1"/>
    <x v="1"/>
  </r>
  <r>
    <x v="32"/>
    <x v="0"/>
    <x v="0"/>
    <x v="3"/>
    <x v="32"/>
    <x v="32"/>
    <x v="9"/>
    <x v="9"/>
    <x v="9"/>
    <x v="9"/>
    <x v="4"/>
    <x v="48"/>
    <x v="421"/>
    <x v="45"/>
    <x v="450"/>
    <x v="192"/>
    <x v="47"/>
    <x v="1"/>
    <x v="1"/>
  </r>
  <r>
    <x v="32"/>
    <x v="0"/>
    <x v="0"/>
    <x v="3"/>
    <x v="32"/>
    <x v="32"/>
    <x v="5"/>
    <x v="5"/>
    <x v="5"/>
    <x v="5"/>
    <x v="5"/>
    <x v="102"/>
    <x v="422"/>
    <x v="195"/>
    <x v="451"/>
    <x v="184"/>
    <x v="395"/>
    <x v="4"/>
    <x v="31"/>
  </r>
  <r>
    <x v="32"/>
    <x v="0"/>
    <x v="0"/>
    <x v="3"/>
    <x v="32"/>
    <x v="32"/>
    <x v="10"/>
    <x v="10"/>
    <x v="10"/>
    <x v="10"/>
    <x v="6"/>
    <x v="71"/>
    <x v="301"/>
    <x v="202"/>
    <x v="452"/>
    <x v="133"/>
    <x v="116"/>
    <x v="1"/>
    <x v="1"/>
  </r>
  <r>
    <x v="32"/>
    <x v="0"/>
    <x v="0"/>
    <x v="3"/>
    <x v="32"/>
    <x v="32"/>
    <x v="11"/>
    <x v="11"/>
    <x v="11"/>
    <x v="11"/>
    <x v="7"/>
    <x v="167"/>
    <x v="423"/>
    <x v="67"/>
    <x v="453"/>
    <x v="102"/>
    <x v="396"/>
    <x v="1"/>
    <x v="1"/>
  </r>
  <r>
    <x v="32"/>
    <x v="0"/>
    <x v="0"/>
    <x v="3"/>
    <x v="32"/>
    <x v="32"/>
    <x v="6"/>
    <x v="6"/>
    <x v="6"/>
    <x v="6"/>
    <x v="8"/>
    <x v="53"/>
    <x v="424"/>
    <x v="119"/>
    <x v="454"/>
    <x v="93"/>
    <x v="331"/>
    <x v="1"/>
    <x v="1"/>
  </r>
  <r>
    <x v="32"/>
    <x v="0"/>
    <x v="0"/>
    <x v="3"/>
    <x v="32"/>
    <x v="32"/>
    <x v="7"/>
    <x v="7"/>
    <x v="7"/>
    <x v="7"/>
    <x v="9"/>
    <x v="92"/>
    <x v="425"/>
    <x v="121"/>
    <x v="372"/>
    <x v="108"/>
    <x v="397"/>
    <x v="1"/>
    <x v="1"/>
  </r>
  <r>
    <x v="32"/>
    <x v="0"/>
    <x v="0"/>
    <x v="3"/>
    <x v="32"/>
    <x v="32"/>
    <x v="3"/>
    <x v="3"/>
    <x v="3"/>
    <x v="3"/>
    <x v="10"/>
    <x v="57"/>
    <x v="324"/>
    <x v="82"/>
    <x v="455"/>
    <x v="72"/>
    <x v="398"/>
    <x v="1"/>
    <x v="1"/>
  </r>
  <r>
    <x v="32"/>
    <x v="0"/>
    <x v="0"/>
    <x v="3"/>
    <x v="32"/>
    <x v="32"/>
    <x v="36"/>
    <x v="36"/>
    <x v="36"/>
    <x v="36"/>
    <x v="11"/>
    <x v="58"/>
    <x v="426"/>
    <x v="121"/>
    <x v="372"/>
    <x v="184"/>
    <x v="395"/>
    <x v="1"/>
    <x v="1"/>
  </r>
  <r>
    <x v="32"/>
    <x v="0"/>
    <x v="0"/>
    <x v="3"/>
    <x v="32"/>
    <x v="32"/>
    <x v="8"/>
    <x v="8"/>
    <x v="8"/>
    <x v="8"/>
    <x v="12"/>
    <x v="144"/>
    <x v="427"/>
    <x v="106"/>
    <x v="456"/>
    <x v="88"/>
    <x v="266"/>
    <x v="1"/>
    <x v="1"/>
  </r>
  <r>
    <x v="32"/>
    <x v="0"/>
    <x v="0"/>
    <x v="3"/>
    <x v="32"/>
    <x v="32"/>
    <x v="12"/>
    <x v="12"/>
    <x v="12"/>
    <x v="12"/>
    <x v="13"/>
    <x v="76"/>
    <x v="98"/>
    <x v="106"/>
    <x v="456"/>
    <x v="179"/>
    <x v="399"/>
    <x v="1"/>
    <x v="1"/>
  </r>
  <r>
    <x v="32"/>
    <x v="0"/>
    <x v="0"/>
    <x v="3"/>
    <x v="32"/>
    <x v="32"/>
    <x v="39"/>
    <x v="39"/>
    <x v="39"/>
    <x v="39"/>
    <x v="14"/>
    <x v="249"/>
    <x v="428"/>
    <x v="97"/>
    <x v="188"/>
    <x v="176"/>
    <x v="272"/>
    <x v="1"/>
    <x v="1"/>
  </r>
  <r>
    <x v="32"/>
    <x v="0"/>
    <x v="0"/>
    <x v="3"/>
    <x v="32"/>
    <x v="32"/>
    <x v="20"/>
    <x v="20"/>
    <x v="20"/>
    <x v="20"/>
    <x v="15"/>
    <x v="281"/>
    <x v="213"/>
    <x v="225"/>
    <x v="332"/>
    <x v="68"/>
    <x v="341"/>
    <x v="1"/>
    <x v="1"/>
  </r>
  <r>
    <x v="32"/>
    <x v="0"/>
    <x v="0"/>
    <x v="3"/>
    <x v="32"/>
    <x v="32"/>
    <x v="45"/>
    <x v="45"/>
    <x v="45"/>
    <x v="45"/>
    <x v="16"/>
    <x v="229"/>
    <x v="429"/>
    <x v="97"/>
    <x v="188"/>
    <x v="178"/>
    <x v="120"/>
    <x v="1"/>
    <x v="1"/>
  </r>
  <r>
    <x v="32"/>
    <x v="0"/>
    <x v="0"/>
    <x v="3"/>
    <x v="32"/>
    <x v="32"/>
    <x v="38"/>
    <x v="38"/>
    <x v="38"/>
    <x v="38"/>
    <x v="17"/>
    <x v="131"/>
    <x v="267"/>
    <x v="50"/>
    <x v="132"/>
    <x v="88"/>
    <x v="266"/>
    <x v="1"/>
    <x v="1"/>
  </r>
  <r>
    <x v="32"/>
    <x v="0"/>
    <x v="0"/>
    <x v="3"/>
    <x v="32"/>
    <x v="32"/>
    <x v="15"/>
    <x v="15"/>
    <x v="15"/>
    <x v="15"/>
    <x v="18"/>
    <x v="292"/>
    <x v="215"/>
    <x v="66"/>
    <x v="457"/>
    <x v="176"/>
    <x v="272"/>
    <x v="1"/>
    <x v="1"/>
  </r>
  <r>
    <x v="32"/>
    <x v="0"/>
    <x v="0"/>
    <x v="3"/>
    <x v="32"/>
    <x v="32"/>
    <x v="32"/>
    <x v="32"/>
    <x v="32"/>
    <x v="32"/>
    <x v="19"/>
    <x v="230"/>
    <x v="116"/>
    <x v="108"/>
    <x v="458"/>
    <x v="114"/>
    <x v="400"/>
    <x v="1"/>
    <x v="1"/>
  </r>
  <r>
    <x v="33"/>
    <x v="0"/>
    <x v="0"/>
    <x v="3"/>
    <x v="33"/>
    <x v="33"/>
    <x v="2"/>
    <x v="2"/>
    <x v="2"/>
    <x v="2"/>
    <x v="0"/>
    <x v="312"/>
    <x v="178"/>
    <x v="229"/>
    <x v="459"/>
    <x v="200"/>
    <x v="401"/>
    <x v="1"/>
    <x v="1"/>
  </r>
  <r>
    <x v="33"/>
    <x v="0"/>
    <x v="0"/>
    <x v="3"/>
    <x v="33"/>
    <x v="33"/>
    <x v="0"/>
    <x v="0"/>
    <x v="0"/>
    <x v="0"/>
    <x v="1"/>
    <x v="313"/>
    <x v="430"/>
    <x v="246"/>
    <x v="460"/>
    <x v="181"/>
    <x v="402"/>
    <x v="1"/>
    <x v="1"/>
  </r>
  <r>
    <x v="33"/>
    <x v="0"/>
    <x v="0"/>
    <x v="3"/>
    <x v="33"/>
    <x v="33"/>
    <x v="1"/>
    <x v="1"/>
    <x v="1"/>
    <x v="1"/>
    <x v="2"/>
    <x v="310"/>
    <x v="431"/>
    <x v="63"/>
    <x v="461"/>
    <x v="178"/>
    <x v="125"/>
    <x v="1"/>
    <x v="1"/>
  </r>
  <r>
    <x v="33"/>
    <x v="0"/>
    <x v="0"/>
    <x v="3"/>
    <x v="33"/>
    <x v="33"/>
    <x v="5"/>
    <x v="5"/>
    <x v="5"/>
    <x v="5"/>
    <x v="3"/>
    <x v="314"/>
    <x v="179"/>
    <x v="205"/>
    <x v="462"/>
    <x v="101"/>
    <x v="35"/>
    <x v="4"/>
    <x v="33"/>
  </r>
  <r>
    <x v="33"/>
    <x v="0"/>
    <x v="0"/>
    <x v="3"/>
    <x v="33"/>
    <x v="33"/>
    <x v="3"/>
    <x v="3"/>
    <x v="3"/>
    <x v="3"/>
    <x v="4"/>
    <x v="201"/>
    <x v="411"/>
    <x v="247"/>
    <x v="209"/>
    <x v="63"/>
    <x v="398"/>
    <x v="1"/>
    <x v="1"/>
  </r>
  <r>
    <x v="33"/>
    <x v="0"/>
    <x v="0"/>
    <x v="3"/>
    <x v="33"/>
    <x v="33"/>
    <x v="4"/>
    <x v="4"/>
    <x v="4"/>
    <x v="4"/>
    <x v="5"/>
    <x v="139"/>
    <x v="432"/>
    <x v="121"/>
    <x v="463"/>
    <x v="50"/>
    <x v="403"/>
    <x v="1"/>
    <x v="1"/>
  </r>
  <r>
    <x v="33"/>
    <x v="0"/>
    <x v="0"/>
    <x v="3"/>
    <x v="33"/>
    <x v="33"/>
    <x v="44"/>
    <x v="44"/>
    <x v="44"/>
    <x v="44"/>
    <x v="6"/>
    <x v="306"/>
    <x v="250"/>
    <x v="209"/>
    <x v="464"/>
    <x v="69"/>
    <x v="404"/>
    <x v="1"/>
    <x v="1"/>
  </r>
  <r>
    <x v="33"/>
    <x v="0"/>
    <x v="0"/>
    <x v="3"/>
    <x v="33"/>
    <x v="33"/>
    <x v="6"/>
    <x v="6"/>
    <x v="6"/>
    <x v="6"/>
    <x v="7"/>
    <x v="308"/>
    <x v="252"/>
    <x v="169"/>
    <x v="465"/>
    <x v="187"/>
    <x v="385"/>
    <x v="1"/>
    <x v="1"/>
  </r>
  <r>
    <x v="33"/>
    <x v="0"/>
    <x v="0"/>
    <x v="3"/>
    <x v="33"/>
    <x v="33"/>
    <x v="7"/>
    <x v="7"/>
    <x v="7"/>
    <x v="7"/>
    <x v="8"/>
    <x v="142"/>
    <x v="433"/>
    <x v="198"/>
    <x v="466"/>
    <x v="103"/>
    <x v="50"/>
    <x v="1"/>
    <x v="1"/>
  </r>
  <r>
    <x v="33"/>
    <x v="0"/>
    <x v="0"/>
    <x v="3"/>
    <x v="33"/>
    <x v="33"/>
    <x v="9"/>
    <x v="9"/>
    <x v="9"/>
    <x v="9"/>
    <x v="9"/>
    <x v="239"/>
    <x v="153"/>
    <x v="96"/>
    <x v="360"/>
    <x v="181"/>
    <x v="402"/>
    <x v="1"/>
    <x v="1"/>
  </r>
  <r>
    <x v="33"/>
    <x v="0"/>
    <x v="0"/>
    <x v="3"/>
    <x v="33"/>
    <x v="33"/>
    <x v="10"/>
    <x v="10"/>
    <x v="10"/>
    <x v="10"/>
    <x v="9"/>
    <x v="239"/>
    <x v="153"/>
    <x v="224"/>
    <x v="238"/>
    <x v="103"/>
    <x v="50"/>
    <x v="1"/>
    <x v="1"/>
  </r>
  <r>
    <x v="33"/>
    <x v="0"/>
    <x v="0"/>
    <x v="3"/>
    <x v="33"/>
    <x v="33"/>
    <x v="32"/>
    <x v="32"/>
    <x v="32"/>
    <x v="32"/>
    <x v="11"/>
    <x v="227"/>
    <x v="434"/>
    <x v="98"/>
    <x v="396"/>
    <x v="178"/>
    <x v="125"/>
    <x v="1"/>
    <x v="1"/>
  </r>
  <r>
    <x v="33"/>
    <x v="0"/>
    <x v="0"/>
    <x v="3"/>
    <x v="33"/>
    <x v="33"/>
    <x v="34"/>
    <x v="34"/>
    <x v="34"/>
    <x v="34"/>
    <x v="12"/>
    <x v="130"/>
    <x v="426"/>
    <x v="54"/>
    <x v="467"/>
    <x v="87"/>
    <x v="89"/>
    <x v="1"/>
    <x v="1"/>
  </r>
  <r>
    <x v="33"/>
    <x v="0"/>
    <x v="0"/>
    <x v="3"/>
    <x v="33"/>
    <x v="33"/>
    <x v="15"/>
    <x v="15"/>
    <x v="15"/>
    <x v="15"/>
    <x v="12"/>
    <x v="130"/>
    <x v="426"/>
    <x v="84"/>
    <x v="37"/>
    <x v="46"/>
    <x v="405"/>
    <x v="1"/>
    <x v="1"/>
  </r>
  <r>
    <x v="33"/>
    <x v="0"/>
    <x v="0"/>
    <x v="3"/>
    <x v="33"/>
    <x v="33"/>
    <x v="8"/>
    <x v="8"/>
    <x v="8"/>
    <x v="8"/>
    <x v="14"/>
    <x v="228"/>
    <x v="62"/>
    <x v="199"/>
    <x v="468"/>
    <x v="179"/>
    <x v="406"/>
    <x v="1"/>
    <x v="1"/>
  </r>
  <r>
    <x v="33"/>
    <x v="0"/>
    <x v="0"/>
    <x v="3"/>
    <x v="33"/>
    <x v="33"/>
    <x v="21"/>
    <x v="21"/>
    <x v="21"/>
    <x v="21"/>
    <x v="15"/>
    <x v="76"/>
    <x v="45"/>
    <x v="97"/>
    <x v="98"/>
    <x v="192"/>
    <x v="407"/>
    <x v="1"/>
    <x v="1"/>
  </r>
  <r>
    <x v="33"/>
    <x v="0"/>
    <x v="0"/>
    <x v="3"/>
    <x v="33"/>
    <x v="33"/>
    <x v="11"/>
    <x v="11"/>
    <x v="11"/>
    <x v="11"/>
    <x v="16"/>
    <x v="77"/>
    <x v="228"/>
    <x v="86"/>
    <x v="51"/>
    <x v="184"/>
    <x v="390"/>
    <x v="1"/>
    <x v="1"/>
  </r>
  <r>
    <x v="33"/>
    <x v="0"/>
    <x v="0"/>
    <x v="3"/>
    <x v="33"/>
    <x v="33"/>
    <x v="13"/>
    <x v="13"/>
    <x v="13"/>
    <x v="13"/>
    <x v="17"/>
    <x v="276"/>
    <x v="145"/>
    <x v="82"/>
    <x v="469"/>
    <x v="88"/>
    <x v="18"/>
    <x v="1"/>
    <x v="1"/>
  </r>
  <r>
    <x v="33"/>
    <x v="0"/>
    <x v="0"/>
    <x v="3"/>
    <x v="33"/>
    <x v="33"/>
    <x v="17"/>
    <x v="17"/>
    <x v="17"/>
    <x v="17"/>
    <x v="18"/>
    <x v="231"/>
    <x v="394"/>
    <x v="53"/>
    <x v="156"/>
    <x v="184"/>
    <x v="390"/>
    <x v="1"/>
    <x v="1"/>
  </r>
  <r>
    <x v="33"/>
    <x v="0"/>
    <x v="0"/>
    <x v="3"/>
    <x v="33"/>
    <x v="33"/>
    <x v="33"/>
    <x v="33"/>
    <x v="33"/>
    <x v="33"/>
    <x v="18"/>
    <x v="231"/>
    <x v="394"/>
    <x v="48"/>
    <x v="132"/>
    <x v="181"/>
    <x v="402"/>
    <x v="1"/>
    <x v="1"/>
  </r>
  <r>
    <x v="34"/>
    <x v="0"/>
    <x v="0"/>
    <x v="3"/>
    <x v="34"/>
    <x v="34"/>
    <x v="1"/>
    <x v="1"/>
    <x v="1"/>
    <x v="1"/>
    <x v="0"/>
    <x v="100"/>
    <x v="435"/>
    <x v="244"/>
    <x v="470"/>
    <x v="187"/>
    <x v="103"/>
    <x v="1"/>
    <x v="1"/>
  </r>
  <r>
    <x v="34"/>
    <x v="0"/>
    <x v="0"/>
    <x v="3"/>
    <x v="34"/>
    <x v="34"/>
    <x v="2"/>
    <x v="2"/>
    <x v="2"/>
    <x v="2"/>
    <x v="1"/>
    <x v="87"/>
    <x v="436"/>
    <x v="144"/>
    <x v="471"/>
    <x v="90"/>
    <x v="326"/>
    <x v="1"/>
    <x v="1"/>
  </r>
  <r>
    <x v="34"/>
    <x v="0"/>
    <x v="0"/>
    <x v="3"/>
    <x v="34"/>
    <x v="34"/>
    <x v="0"/>
    <x v="0"/>
    <x v="0"/>
    <x v="0"/>
    <x v="2"/>
    <x v="237"/>
    <x v="437"/>
    <x v="65"/>
    <x v="472"/>
    <x v="187"/>
    <x v="103"/>
    <x v="4"/>
    <x v="22"/>
  </r>
  <r>
    <x v="34"/>
    <x v="0"/>
    <x v="0"/>
    <x v="3"/>
    <x v="34"/>
    <x v="34"/>
    <x v="4"/>
    <x v="4"/>
    <x v="4"/>
    <x v="4"/>
    <x v="3"/>
    <x v="88"/>
    <x v="438"/>
    <x v="184"/>
    <x v="473"/>
    <x v="89"/>
    <x v="408"/>
    <x v="1"/>
    <x v="1"/>
  </r>
  <r>
    <x v="34"/>
    <x v="0"/>
    <x v="0"/>
    <x v="3"/>
    <x v="34"/>
    <x v="34"/>
    <x v="3"/>
    <x v="3"/>
    <x v="3"/>
    <x v="3"/>
    <x v="4"/>
    <x v="116"/>
    <x v="439"/>
    <x v="173"/>
    <x v="474"/>
    <x v="175"/>
    <x v="26"/>
    <x v="4"/>
    <x v="22"/>
  </r>
  <r>
    <x v="34"/>
    <x v="0"/>
    <x v="0"/>
    <x v="3"/>
    <x v="34"/>
    <x v="34"/>
    <x v="5"/>
    <x v="5"/>
    <x v="5"/>
    <x v="5"/>
    <x v="5"/>
    <x v="239"/>
    <x v="432"/>
    <x v="69"/>
    <x v="290"/>
    <x v="88"/>
    <x v="246"/>
    <x v="1"/>
    <x v="1"/>
  </r>
  <r>
    <x v="34"/>
    <x v="0"/>
    <x v="0"/>
    <x v="3"/>
    <x v="34"/>
    <x v="34"/>
    <x v="9"/>
    <x v="9"/>
    <x v="9"/>
    <x v="9"/>
    <x v="6"/>
    <x v="130"/>
    <x v="440"/>
    <x v="194"/>
    <x v="417"/>
    <x v="184"/>
    <x v="232"/>
    <x v="1"/>
    <x v="1"/>
  </r>
  <r>
    <x v="34"/>
    <x v="0"/>
    <x v="0"/>
    <x v="3"/>
    <x v="34"/>
    <x v="34"/>
    <x v="6"/>
    <x v="6"/>
    <x v="6"/>
    <x v="6"/>
    <x v="7"/>
    <x v="117"/>
    <x v="224"/>
    <x v="52"/>
    <x v="110"/>
    <x v="180"/>
    <x v="271"/>
    <x v="4"/>
    <x v="22"/>
  </r>
  <r>
    <x v="34"/>
    <x v="0"/>
    <x v="0"/>
    <x v="3"/>
    <x v="34"/>
    <x v="34"/>
    <x v="10"/>
    <x v="10"/>
    <x v="10"/>
    <x v="10"/>
    <x v="8"/>
    <x v="251"/>
    <x v="441"/>
    <x v="86"/>
    <x v="283"/>
    <x v="176"/>
    <x v="409"/>
    <x v="1"/>
    <x v="1"/>
  </r>
  <r>
    <x v="34"/>
    <x v="0"/>
    <x v="0"/>
    <x v="3"/>
    <x v="34"/>
    <x v="34"/>
    <x v="7"/>
    <x v="7"/>
    <x v="7"/>
    <x v="7"/>
    <x v="9"/>
    <x v="145"/>
    <x v="442"/>
    <x v="54"/>
    <x v="465"/>
    <x v="77"/>
    <x v="146"/>
    <x v="1"/>
    <x v="1"/>
  </r>
  <r>
    <x v="34"/>
    <x v="0"/>
    <x v="0"/>
    <x v="3"/>
    <x v="34"/>
    <x v="34"/>
    <x v="13"/>
    <x v="13"/>
    <x v="13"/>
    <x v="13"/>
    <x v="10"/>
    <x v="230"/>
    <x v="227"/>
    <x v="66"/>
    <x v="340"/>
    <x v="103"/>
    <x v="30"/>
    <x v="1"/>
    <x v="1"/>
  </r>
  <r>
    <x v="34"/>
    <x v="0"/>
    <x v="0"/>
    <x v="3"/>
    <x v="34"/>
    <x v="34"/>
    <x v="11"/>
    <x v="11"/>
    <x v="11"/>
    <x v="11"/>
    <x v="11"/>
    <x v="282"/>
    <x v="443"/>
    <x v="66"/>
    <x v="340"/>
    <x v="101"/>
    <x v="192"/>
    <x v="1"/>
    <x v="1"/>
  </r>
  <r>
    <x v="34"/>
    <x v="0"/>
    <x v="0"/>
    <x v="3"/>
    <x v="34"/>
    <x v="34"/>
    <x v="8"/>
    <x v="8"/>
    <x v="8"/>
    <x v="8"/>
    <x v="12"/>
    <x v="252"/>
    <x v="114"/>
    <x v="48"/>
    <x v="475"/>
    <x v="114"/>
    <x v="386"/>
    <x v="1"/>
    <x v="1"/>
  </r>
  <r>
    <x v="34"/>
    <x v="0"/>
    <x v="0"/>
    <x v="3"/>
    <x v="34"/>
    <x v="34"/>
    <x v="16"/>
    <x v="16"/>
    <x v="16"/>
    <x v="16"/>
    <x v="13"/>
    <x v="232"/>
    <x v="444"/>
    <x v="74"/>
    <x v="476"/>
    <x v="176"/>
    <x v="409"/>
    <x v="1"/>
    <x v="1"/>
  </r>
  <r>
    <x v="34"/>
    <x v="0"/>
    <x v="0"/>
    <x v="3"/>
    <x v="34"/>
    <x v="34"/>
    <x v="36"/>
    <x v="36"/>
    <x v="36"/>
    <x v="36"/>
    <x v="14"/>
    <x v="253"/>
    <x v="116"/>
    <x v="135"/>
    <x v="204"/>
    <x v="175"/>
    <x v="26"/>
    <x v="1"/>
    <x v="1"/>
  </r>
  <r>
    <x v="34"/>
    <x v="0"/>
    <x v="0"/>
    <x v="3"/>
    <x v="34"/>
    <x v="34"/>
    <x v="12"/>
    <x v="12"/>
    <x v="12"/>
    <x v="12"/>
    <x v="14"/>
    <x v="253"/>
    <x v="116"/>
    <x v="72"/>
    <x v="477"/>
    <x v="180"/>
    <x v="271"/>
    <x v="1"/>
    <x v="1"/>
  </r>
  <r>
    <x v="34"/>
    <x v="0"/>
    <x v="0"/>
    <x v="3"/>
    <x v="34"/>
    <x v="34"/>
    <x v="15"/>
    <x v="15"/>
    <x v="15"/>
    <x v="15"/>
    <x v="16"/>
    <x v="254"/>
    <x v="230"/>
    <x v="145"/>
    <x v="478"/>
    <x v="93"/>
    <x v="111"/>
    <x v="1"/>
    <x v="1"/>
  </r>
  <r>
    <x v="34"/>
    <x v="0"/>
    <x v="0"/>
    <x v="3"/>
    <x v="34"/>
    <x v="34"/>
    <x v="17"/>
    <x v="17"/>
    <x v="17"/>
    <x v="17"/>
    <x v="16"/>
    <x v="254"/>
    <x v="230"/>
    <x v="56"/>
    <x v="479"/>
    <x v="180"/>
    <x v="271"/>
    <x v="1"/>
    <x v="1"/>
  </r>
  <r>
    <x v="34"/>
    <x v="0"/>
    <x v="0"/>
    <x v="3"/>
    <x v="34"/>
    <x v="34"/>
    <x v="18"/>
    <x v="18"/>
    <x v="18"/>
    <x v="18"/>
    <x v="16"/>
    <x v="254"/>
    <x v="230"/>
    <x v="55"/>
    <x v="480"/>
    <x v="181"/>
    <x v="410"/>
    <x v="1"/>
    <x v="1"/>
  </r>
  <r>
    <x v="34"/>
    <x v="0"/>
    <x v="0"/>
    <x v="3"/>
    <x v="34"/>
    <x v="34"/>
    <x v="34"/>
    <x v="34"/>
    <x v="34"/>
    <x v="34"/>
    <x v="19"/>
    <x v="255"/>
    <x v="216"/>
    <x v="135"/>
    <x v="204"/>
    <x v="180"/>
    <x v="271"/>
    <x v="4"/>
    <x v="22"/>
  </r>
  <r>
    <x v="34"/>
    <x v="0"/>
    <x v="0"/>
    <x v="3"/>
    <x v="34"/>
    <x v="34"/>
    <x v="33"/>
    <x v="33"/>
    <x v="33"/>
    <x v="33"/>
    <x v="19"/>
    <x v="255"/>
    <x v="216"/>
    <x v="56"/>
    <x v="479"/>
    <x v="187"/>
    <x v="103"/>
    <x v="1"/>
    <x v="1"/>
  </r>
  <r>
    <x v="35"/>
    <x v="0"/>
    <x v="0"/>
    <x v="3"/>
    <x v="35"/>
    <x v="35"/>
    <x v="0"/>
    <x v="0"/>
    <x v="0"/>
    <x v="0"/>
    <x v="0"/>
    <x v="302"/>
    <x v="445"/>
    <x v="201"/>
    <x v="481"/>
    <x v="77"/>
    <x v="411"/>
    <x v="1"/>
    <x v="1"/>
  </r>
  <r>
    <x v="35"/>
    <x v="0"/>
    <x v="0"/>
    <x v="3"/>
    <x v="35"/>
    <x v="35"/>
    <x v="5"/>
    <x v="5"/>
    <x v="5"/>
    <x v="5"/>
    <x v="1"/>
    <x v="315"/>
    <x v="446"/>
    <x v="248"/>
    <x v="482"/>
    <x v="103"/>
    <x v="344"/>
    <x v="8"/>
    <x v="33"/>
  </r>
  <r>
    <x v="35"/>
    <x v="0"/>
    <x v="0"/>
    <x v="3"/>
    <x v="35"/>
    <x v="35"/>
    <x v="2"/>
    <x v="2"/>
    <x v="2"/>
    <x v="2"/>
    <x v="2"/>
    <x v="225"/>
    <x v="447"/>
    <x v="249"/>
    <x v="350"/>
    <x v="60"/>
    <x v="412"/>
    <x v="1"/>
    <x v="1"/>
  </r>
  <r>
    <x v="35"/>
    <x v="0"/>
    <x v="0"/>
    <x v="3"/>
    <x v="35"/>
    <x v="35"/>
    <x v="1"/>
    <x v="1"/>
    <x v="1"/>
    <x v="1"/>
    <x v="3"/>
    <x v="316"/>
    <x v="448"/>
    <x v="220"/>
    <x v="483"/>
    <x v="178"/>
    <x v="256"/>
    <x v="1"/>
    <x v="1"/>
  </r>
  <r>
    <x v="35"/>
    <x v="0"/>
    <x v="0"/>
    <x v="3"/>
    <x v="35"/>
    <x v="35"/>
    <x v="4"/>
    <x v="4"/>
    <x v="4"/>
    <x v="4"/>
    <x v="4"/>
    <x v="112"/>
    <x v="449"/>
    <x v="98"/>
    <x v="484"/>
    <x v="82"/>
    <x v="413"/>
    <x v="1"/>
    <x v="1"/>
  </r>
  <r>
    <x v="35"/>
    <x v="0"/>
    <x v="0"/>
    <x v="3"/>
    <x v="35"/>
    <x v="35"/>
    <x v="34"/>
    <x v="34"/>
    <x v="34"/>
    <x v="34"/>
    <x v="5"/>
    <x v="113"/>
    <x v="450"/>
    <x v="132"/>
    <x v="485"/>
    <x v="77"/>
    <x v="411"/>
    <x v="1"/>
    <x v="1"/>
  </r>
  <r>
    <x v="35"/>
    <x v="0"/>
    <x v="0"/>
    <x v="3"/>
    <x v="35"/>
    <x v="35"/>
    <x v="9"/>
    <x v="9"/>
    <x v="9"/>
    <x v="9"/>
    <x v="6"/>
    <x v="105"/>
    <x v="300"/>
    <x v="67"/>
    <x v="263"/>
    <x v="88"/>
    <x v="414"/>
    <x v="1"/>
    <x v="1"/>
  </r>
  <r>
    <x v="35"/>
    <x v="0"/>
    <x v="0"/>
    <x v="3"/>
    <x v="35"/>
    <x v="35"/>
    <x v="10"/>
    <x v="10"/>
    <x v="10"/>
    <x v="10"/>
    <x v="7"/>
    <x v="275"/>
    <x v="301"/>
    <x v="121"/>
    <x v="329"/>
    <x v="103"/>
    <x v="344"/>
    <x v="1"/>
    <x v="1"/>
  </r>
  <r>
    <x v="35"/>
    <x v="0"/>
    <x v="0"/>
    <x v="3"/>
    <x v="35"/>
    <x v="35"/>
    <x v="3"/>
    <x v="3"/>
    <x v="3"/>
    <x v="3"/>
    <x v="8"/>
    <x v="227"/>
    <x v="451"/>
    <x v="54"/>
    <x v="486"/>
    <x v="133"/>
    <x v="362"/>
    <x v="1"/>
    <x v="1"/>
  </r>
  <r>
    <x v="35"/>
    <x v="0"/>
    <x v="0"/>
    <x v="3"/>
    <x v="35"/>
    <x v="35"/>
    <x v="7"/>
    <x v="7"/>
    <x v="7"/>
    <x v="7"/>
    <x v="9"/>
    <x v="144"/>
    <x v="186"/>
    <x v="184"/>
    <x v="487"/>
    <x v="103"/>
    <x v="344"/>
    <x v="1"/>
    <x v="1"/>
  </r>
  <r>
    <x v="35"/>
    <x v="0"/>
    <x v="0"/>
    <x v="3"/>
    <x v="35"/>
    <x v="35"/>
    <x v="6"/>
    <x v="6"/>
    <x v="6"/>
    <x v="6"/>
    <x v="10"/>
    <x v="228"/>
    <x v="9"/>
    <x v="121"/>
    <x v="329"/>
    <x v="187"/>
    <x v="415"/>
    <x v="1"/>
    <x v="1"/>
  </r>
  <r>
    <x v="35"/>
    <x v="0"/>
    <x v="0"/>
    <x v="3"/>
    <x v="35"/>
    <x v="35"/>
    <x v="8"/>
    <x v="8"/>
    <x v="8"/>
    <x v="8"/>
    <x v="11"/>
    <x v="251"/>
    <x v="265"/>
    <x v="107"/>
    <x v="488"/>
    <x v="187"/>
    <x v="415"/>
    <x v="1"/>
    <x v="1"/>
  </r>
  <r>
    <x v="35"/>
    <x v="0"/>
    <x v="0"/>
    <x v="3"/>
    <x v="35"/>
    <x v="35"/>
    <x v="38"/>
    <x v="38"/>
    <x v="38"/>
    <x v="38"/>
    <x v="12"/>
    <x v="276"/>
    <x v="112"/>
    <x v="125"/>
    <x v="489"/>
    <x v="101"/>
    <x v="174"/>
    <x v="1"/>
    <x v="1"/>
  </r>
  <r>
    <x v="35"/>
    <x v="0"/>
    <x v="0"/>
    <x v="3"/>
    <x v="35"/>
    <x v="35"/>
    <x v="11"/>
    <x v="11"/>
    <x v="11"/>
    <x v="11"/>
    <x v="13"/>
    <x v="119"/>
    <x v="31"/>
    <x v="125"/>
    <x v="489"/>
    <x v="93"/>
    <x v="236"/>
    <x v="1"/>
    <x v="1"/>
  </r>
  <r>
    <x v="35"/>
    <x v="0"/>
    <x v="0"/>
    <x v="3"/>
    <x v="35"/>
    <x v="35"/>
    <x v="21"/>
    <x v="21"/>
    <x v="21"/>
    <x v="21"/>
    <x v="14"/>
    <x v="229"/>
    <x v="200"/>
    <x v="50"/>
    <x v="182"/>
    <x v="93"/>
    <x v="236"/>
    <x v="1"/>
    <x v="1"/>
  </r>
  <r>
    <x v="35"/>
    <x v="0"/>
    <x v="0"/>
    <x v="3"/>
    <x v="35"/>
    <x v="35"/>
    <x v="33"/>
    <x v="33"/>
    <x v="33"/>
    <x v="33"/>
    <x v="15"/>
    <x v="230"/>
    <x v="452"/>
    <x v="50"/>
    <x v="182"/>
    <x v="187"/>
    <x v="415"/>
    <x v="4"/>
    <x v="21"/>
  </r>
  <r>
    <x v="35"/>
    <x v="0"/>
    <x v="0"/>
    <x v="3"/>
    <x v="35"/>
    <x v="35"/>
    <x v="13"/>
    <x v="13"/>
    <x v="13"/>
    <x v="13"/>
    <x v="16"/>
    <x v="240"/>
    <x v="406"/>
    <x v="137"/>
    <x v="100"/>
    <x v="184"/>
    <x v="416"/>
    <x v="1"/>
    <x v="1"/>
  </r>
  <r>
    <x v="35"/>
    <x v="0"/>
    <x v="0"/>
    <x v="3"/>
    <x v="35"/>
    <x v="35"/>
    <x v="12"/>
    <x v="12"/>
    <x v="12"/>
    <x v="12"/>
    <x v="17"/>
    <x v="232"/>
    <x v="366"/>
    <x v="146"/>
    <x v="13"/>
    <x v="180"/>
    <x v="417"/>
    <x v="1"/>
    <x v="1"/>
  </r>
  <r>
    <x v="35"/>
    <x v="0"/>
    <x v="0"/>
    <x v="3"/>
    <x v="35"/>
    <x v="35"/>
    <x v="15"/>
    <x v="15"/>
    <x v="15"/>
    <x v="15"/>
    <x v="18"/>
    <x v="241"/>
    <x v="158"/>
    <x v="56"/>
    <x v="490"/>
    <x v="77"/>
    <x v="411"/>
    <x v="1"/>
    <x v="1"/>
  </r>
  <r>
    <x v="35"/>
    <x v="0"/>
    <x v="0"/>
    <x v="3"/>
    <x v="35"/>
    <x v="35"/>
    <x v="14"/>
    <x v="14"/>
    <x v="14"/>
    <x v="14"/>
    <x v="19"/>
    <x v="297"/>
    <x v="159"/>
    <x v="137"/>
    <x v="100"/>
    <x v="187"/>
    <x v="415"/>
    <x v="1"/>
    <x v="1"/>
  </r>
  <r>
    <x v="35"/>
    <x v="0"/>
    <x v="0"/>
    <x v="3"/>
    <x v="35"/>
    <x v="35"/>
    <x v="32"/>
    <x v="32"/>
    <x v="32"/>
    <x v="32"/>
    <x v="19"/>
    <x v="297"/>
    <x v="159"/>
    <x v="66"/>
    <x v="491"/>
    <x v="179"/>
    <x v="97"/>
    <x v="1"/>
    <x v="1"/>
  </r>
  <r>
    <x v="36"/>
    <x v="0"/>
    <x v="0"/>
    <x v="3"/>
    <x v="36"/>
    <x v="36"/>
    <x v="34"/>
    <x v="34"/>
    <x v="34"/>
    <x v="34"/>
    <x v="0"/>
    <x v="317"/>
    <x v="453"/>
    <x v="250"/>
    <x v="492"/>
    <x v="97"/>
    <x v="418"/>
    <x v="1"/>
    <x v="38"/>
  </r>
  <r>
    <x v="36"/>
    <x v="0"/>
    <x v="0"/>
    <x v="3"/>
    <x v="36"/>
    <x v="36"/>
    <x v="4"/>
    <x v="4"/>
    <x v="4"/>
    <x v="4"/>
    <x v="1"/>
    <x v="318"/>
    <x v="454"/>
    <x v="247"/>
    <x v="493"/>
    <x v="45"/>
    <x v="419"/>
    <x v="1"/>
    <x v="38"/>
  </r>
  <r>
    <x v="36"/>
    <x v="0"/>
    <x v="0"/>
    <x v="3"/>
    <x v="36"/>
    <x v="36"/>
    <x v="1"/>
    <x v="1"/>
    <x v="1"/>
    <x v="1"/>
    <x v="2"/>
    <x v="160"/>
    <x v="455"/>
    <x v="159"/>
    <x v="494"/>
    <x v="175"/>
    <x v="243"/>
    <x v="1"/>
    <x v="38"/>
  </r>
  <r>
    <x v="36"/>
    <x v="0"/>
    <x v="0"/>
    <x v="3"/>
    <x v="36"/>
    <x v="36"/>
    <x v="2"/>
    <x v="2"/>
    <x v="2"/>
    <x v="2"/>
    <x v="3"/>
    <x v="85"/>
    <x v="257"/>
    <x v="168"/>
    <x v="495"/>
    <x v="64"/>
    <x v="420"/>
    <x v="1"/>
    <x v="38"/>
  </r>
  <r>
    <x v="36"/>
    <x v="0"/>
    <x v="0"/>
    <x v="3"/>
    <x v="36"/>
    <x v="36"/>
    <x v="9"/>
    <x v="9"/>
    <x v="9"/>
    <x v="9"/>
    <x v="4"/>
    <x v="295"/>
    <x v="456"/>
    <x v="222"/>
    <x v="496"/>
    <x v="103"/>
    <x v="366"/>
    <x v="1"/>
    <x v="38"/>
  </r>
  <r>
    <x v="36"/>
    <x v="0"/>
    <x v="0"/>
    <x v="3"/>
    <x v="36"/>
    <x v="36"/>
    <x v="0"/>
    <x v="0"/>
    <x v="0"/>
    <x v="0"/>
    <x v="5"/>
    <x v="101"/>
    <x v="181"/>
    <x v="47"/>
    <x v="497"/>
    <x v="88"/>
    <x v="421"/>
    <x v="1"/>
    <x v="38"/>
  </r>
  <r>
    <x v="36"/>
    <x v="0"/>
    <x v="0"/>
    <x v="3"/>
    <x v="36"/>
    <x v="36"/>
    <x v="5"/>
    <x v="5"/>
    <x v="5"/>
    <x v="5"/>
    <x v="6"/>
    <x v="114"/>
    <x v="457"/>
    <x v="136"/>
    <x v="498"/>
    <x v="178"/>
    <x v="422"/>
    <x v="1"/>
    <x v="38"/>
  </r>
  <r>
    <x v="36"/>
    <x v="0"/>
    <x v="0"/>
    <x v="3"/>
    <x v="36"/>
    <x v="36"/>
    <x v="11"/>
    <x v="11"/>
    <x v="11"/>
    <x v="11"/>
    <x v="7"/>
    <x v="73"/>
    <x v="458"/>
    <x v="52"/>
    <x v="196"/>
    <x v="69"/>
    <x v="68"/>
    <x v="1"/>
    <x v="38"/>
  </r>
  <r>
    <x v="36"/>
    <x v="0"/>
    <x v="0"/>
    <x v="3"/>
    <x v="36"/>
    <x v="36"/>
    <x v="6"/>
    <x v="6"/>
    <x v="6"/>
    <x v="6"/>
    <x v="8"/>
    <x v="142"/>
    <x v="27"/>
    <x v="99"/>
    <x v="499"/>
    <x v="187"/>
    <x v="423"/>
    <x v="1"/>
    <x v="38"/>
  </r>
  <r>
    <x v="36"/>
    <x v="0"/>
    <x v="0"/>
    <x v="3"/>
    <x v="36"/>
    <x v="36"/>
    <x v="10"/>
    <x v="10"/>
    <x v="10"/>
    <x v="10"/>
    <x v="9"/>
    <x v="227"/>
    <x v="239"/>
    <x v="134"/>
    <x v="500"/>
    <x v="92"/>
    <x v="424"/>
    <x v="1"/>
    <x v="38"/>
  </r>
  <r>
    <x v="36"/>
    <x v="0"/>
    <x v="0"/>
    <x v="3"/>
    <x v="36"/>
    <x v="36"/>
    <x v="3"/>
    <x v="3"/>
    <x v="3"/>
    <x v="3"/>
    <x v="10"/>
    <x v="130"/>
    <x v="11"/>
    <x v="52"/>
    <x v="196"/>
    <x v="175"/>
    <x v="243"/>
    <x v="1"/>
    <x v="38"/>
  </r>
  <r>
    <x v="36"/>
    <x v="0"/>
    <x v="0"/>
    <x v="3"/>
    <x v="36"/>
    <x v="36"/>
    <x v="7"/>
    <x v="7"/>
    <x v="7"/>
    <x v="7"/>
    <x v="11"/>
    <x v="76"/>
    <x v="227"/>
    <x v="82"/>
    <x v="314"/>
    <x v="176"/>
    <x v="101"/>
    <x v="1"/>
    <x v="38"/>
  </r>
  <r>
    <x v="36"/>
    <x v="0"/>
    <x v="0"/>
    <x v="3"/>
    <x v="36"/>
    <x v="36"/>
    <x v="8"/>
    <x v="8"/>
    <x v="8"/>
    <x v="8"/>
    <x v="12"/>
    <x v="77"/>
    <x v="63"/>
    <x v="194"/>
    <x v="501"/>
    <x v="181"/>
    <x v="285"/>
    <x v="1"/>
    <x v="38"/>
  </r>
  <r>
    <x v="36"/>
    <x v="0"/>
    <x v="0"/>
    <x v="3"/>
    <x v="36"/>
    <x v="36"/>
    <x v="39"/>
    <x v="39"/>
    <x v="39"/>
    <x v="39"/>
    <x v="13"/>
    <x v="230"/>
    <x v="51"/>
    <x v="53"/>
    <x v="18"/>
    <x v="176"/>
    <x v="101"/>
    <x v="1"/>
    <x v="38"/>
  </r>
  <r>
    <x v="36"/>
    <x v="0"/>
    <x v="0"/>
    <x v="3"/>
    <x v="36"/>
    <x v="36"/>
    <x v="36"/>
    <x v="36"/>
    <x v="36"/>
    <x v="36"/>
    <x v="14"/>
    <x v="231"/>
    <x v="15"/>
    <x v="73"/>
    <x v="165"/>
    <x v="88"/>
    <x v="421"/>
    <x v="1"/>
    <x v="38"/>
  </r>
  <r>
    <x v="36"/>
    <x v="0"/>
    <x v="0"/>
    <x v="3"/>
    <x v="36"/>
    <x v="36"/>
    <x v="13"/>
    <x v="13"/>
    <x v="13"/>
    <x v="13"/>
    <x v="15"/>
    <x v="240"/>
    <x v="16"/>
    <x v="137"/>
    <x v="30"/>
    <x v="184"/>
    <x v="297"/>
    <x v="1"/>
    <x v="38"/>
  </r>
  <r>
    <x v="36"/>
    <x v="0"/>
    <x v="0"/>
    <x v="3"/>
    <x v="36"/>
    <x v="36"/>
    <x v="45"/>
    <x v="45"/>
    <x v="45"/>
    <x v="45"/>
    <x v="16"/>
    <x v="252"/>
    <x v="190"/>
    <x v="66"/>
    <x v="49"/>
    <x v="175"/>
    <x v="243"/>
    <x v="1"/>
    <x v="38"/>
  </r>
  <r>
    <x v="36"/>
    <x v="0"/>
    <x v="0"/>
    <x v="3"/>
    <x v="36"/>
    <x v="36"/>
    <x v="12"/>
    <x v="12"/>
    <x v="12"/>
    <x v="12"/>
    <x v="17"/>
    <x v="241"/>
    <x v="159"/>
    <x v="84"/>
    <x v="256"/>
    <x v="181"/>
    <x v="285"/>
    <x v="1"/>
    <x v="38"/>
  </r>
  <r>
    <x v="36"/>
    <x v="0"/>
    <x v="0"/>
    <x v="3"/>
    <x v="36"/>
    <x v="36"/>
    <x v="15"/>
    <x v="15"/>
    <x v="15"/>
    <x v="15"/>
    <x v="18"/>
    <x v="305"/>
    <x v="459"/>
    <x v="55"/>
    <x v="237"/>
    <x v="88"/>
    <x v="421"/>
    <x v="1"/>
    <x v="38"/>
  </r>
  <r>
    <x v="36"/>
    <x v="0"/>
    <x v="0"/>
    <x v="3"/>
    <x v="36"/>
    <x v="36"/>
    <x v="23"/>
    <x v="23"/>
    <x v="23"/>
    <x v="23"/>
    <x v="19"/>
    <x v="277"/>
    <x v="460"/>
    <x v="74"/>
    <x v="84"/>
    <x v="175"/>
    <x v="243"/>
    <x v="1"/>
    <x v="38"/>
  </r>
  <r>
    <x v="37"/>
    <x v="0"/>
    <x v="0"/>
    <x v="3"/>
    <x v="37"/>
    <x v="37"/>
    <x v="0"/>
    <x v="0"/>
    <x v="0"/>
    <x v="0"/>
    <x v="0"/>
    <x v="201"/>
    <x v="461"/>
    <x v="120"/>
    <x v="502"/>
    <x v="77"/>
    <x v="118"/>
    <x v="1"/>
    <x v="1"/>
  </r>
  <r>
    <x v="37"/>
    <x v="0"/>
    <x v="0"/>
    <x v="3"/>
    <x v="37"/>
    <x v="37"/>
    <x v="4"/>
    <x v="4"/>
    <x v="4"/>
    <x v="4"/>
    <x v="1"/>
    <x v="237"/>
    <x v="462"/>
    <x v="160"/>
    <x v="208"/>
    <x v="164"/>
    <x v="425"/>
    <x v="1"/>
    <x v="1"/>
  </r>
  <r>
    <x v="37"/>
    <x v="0"/>
    <x v="0"/>
    <x v="3"/>
    <x v="37"/>
    <x v="37"/>
    <x v="1"/>
    <x v="1"/>
    <x v="1"/>
    <x v="1"/>
    <x v="2"/>
    <x v="103"/>
    <x v="385"/>
    <x v="136"/>
    <x v="503"/>
    <x v="87"/>
    <x v="188"/>
    <x v="1"/>
    <x v="1"/>
  </r>
  <r>
    <x v="37"/>
    <x v="0"/>
    <x v="0"/>
    <x v="3"/>
    <x v="37"/>
    <x v="37"/>
    <x v="2"/>
    <x v="2"/>
    <x v="2"/>
    <x v="2"/>
    <x v="3"/>
    <x v="115"/>
    <x v="331"/>
    <x v="194"/>
    <x v="504"/>
    <x v="71"/>
    <x v="426"/>
    <x v="1"/>
    <x v="1"/>
  </r>
  <r>
    <x v="37"/>
    <x v="0"/>
    <x v="0"/>
    <x v="3"/>
    <x v="37"/>
    <x v="37"/>
    <x v="5"/>
    <x v="5"/>
    <x v="5"/>
    <x v="5"/>
    <x v="4"/>
    <x v="74"/>
    <x v="463"/>
    <x v="121"/>
    <x v="505"/>
    <x v="77"/>
    <x v="118"/>
    <x v="1"/>
    <x v="1"/>
  </r>
  <r>
    <x v="37"/>
    <x v="0"/>
    <x v="0"/>
    <x v="3"/>
    <x v="37"/>
    <x v="37"/>
    <x v="9"/>
    <x v="9"/>
    <x v="9"/>
    <x v="9"/>
    <x v="5"/>
    <x v="75"/>
    <x v="464"/>
    <x v="49"/>
    <x v="6"/>
    <x v="184"/>
    <x v="231"/>
    <x v="1"/>
    <x v="1"/>
  </r>
  <r>
    <x v="37"/>
    <x v="0"/>
    <x v="0"/>
    <x v="3"/>
    <x v="37"/>
    <x v="37"/>
    <x v="10"/>
    <x v="10"/>
    <x v="10"/>
    <x v="10"/>
    <x v="6"/>
    <x v="76"/>
    <x v="225"/>
    <x v="108"/>
    <x v="506"/>
    <x v="87"/>
    <x v="188"/>
    <x v="1"/>
    <x v="1"/>
  </r>
  <r>
    <x v="37"/>
    <x v="0"/>
    <x v="0"/>
    <x v="3"/>
    <x v="37"/>
    <x v="37"/>
    <x v="7"/>
    <x v="7"/>
    <x v="7"/>
    <x v="7"/>
    <x v="7"/>
    <x v="118"/>
    <x v="465"/>
    <x v="125"/>
    <x v="507"/>
    <x v="103"/>
    <x v="5"/>
    <x v="1"/>
    <x v="1"/>
  </r>
  <r>
    <x v="37"/>
    <x v="0"/>
    <x v="0"/>
    <x v="3"/>
    <x v="37"/>
    <x v="37"/>
    <x v="3"/>
    <x v="3"/>
    <x v="3"/>
    <x v="3"/>
    <x v="7"/>
    <x v="118"/>
    <x v="465"/>
    <x v="125"/>
    <x v="507"/>
    <x v="103"/>
    <x v="5"/>
    <x v="1"/>
    <x v="1"/>
  </r>
  <r>
    <x v="37"/>
    <x v="0"/>
    <x v="0"/>
    <x v="3"/>
    <x v="37"/>
    <x v="37"/>
    <x v="38"/>
    <x v="38"/>
    <x v="38"/>
    <x v="38"/>
    <x v="9"/>
    <x v="303"/>
    <x v="289"/>
    <x v="73"/>
    <x v="508"/>
    <x v="87"/>
    <x v="188"/>
    <x v="1"/>
    <x v="1"/>
  </r>
  <r>
    <x v="37"/>
    <x v="0"/>
    <x v="0"/>
    <x v="3"/>
    <x v="37"/>
    <x v="37"/>
    <x v="15"/>
    <x v="15"/>
    <x v="15"/>
    <x v="15"/>
    <x v="10"/>
    <x v="230"/>
    <x v="277"/>
    <x v="74"/>
    <x v="509"/>
    <x v="80"/>
    <x v="213"/>
    <x v="1"/>
    <x v="1"/>
  </r>
  <r>
    <x v="37"/>
    <x v="0"/>
    <x v="0"/>
    <x v="3"/>
    <x v="37"/>
    <x v="37"/>
    <x v="11"/>
    <x v="11"/>
    <x v="11"/>
    <x v="11"/>
    <x v="11"/>
    <x v="282"/>
    <x v="466"/>
    <x v="137"/>
    <x v="123"/>
    <x v="176"/>
    <x v="45"/>
    <x v="1"/>
    <x v="1"/>
  </r>
  <r>
    <x v="37"/>
    <x v="0"/>
    <x v="0"/>
    <x v="3"/>
    <x v="37"/>
    <x v="37"/>
    <x v="6"/>
    <x v="6"/>
    <x v="6"/>
    <x v="6"/>
    <x v="11"/>
    <x v="282"/>
    <x v="466"/>
    <x v="73"/>
    <x v="508"/>
    <x v="88"/>
    <x v="205"/>
    <x v="8"/>
    <x v="37"/>
  </r>
  <r>
    <x v="37"/>
    <x v="0"/>
    <x v="0"/>
    <x v="3"/>
    <x v="37"/>
    <x v="37"/>
    <x v="16"/>
    <x v="16"/>
    <x v="16"/>
    <x v="16"/>
    <x v="13"/>
    <x v="283"/>
    <x v="347"/>
    <x v="53"/>
    <x v="423"/>
    <x v="101"/>
    <x v="146"/>
    <x v="1"/>
    <x v="1"/>
  </r>
  <r>
    <x v="37"/>
    <x v="0"/>
    <x v="0"/>
    <x v="3"/>
    <x v="37"/>
    <x v="37"/>
    <x v="12"/>
    <x v="12"/>
    <x v="12"/>
    <x v="12"/>
    <x v="14"/>
    <x v="231"/>
    <x v="64"/>
    <x v="68"/>
    <x v="510"/>
    <x v="178"/>
    <x v="271"/>
    <x v="1"/>
    <x v="1"/>
  </r>
  <r>
    <x v="37"/>
    <x v="0"/>
    <x v="0"/>
    <x v="3"/>
    <x v="37"/>
    <x v="37"/>
    <x v="8"/>
    <x v="8"/>
    <x v="8"/>
    <x v="8"/>
    <x v="15"/>
    <x v="252"/>
    <x v="335"/>
    <x v="85"/>
    <x v="196"/>
    <x v="179"/>
    <x v="427"/>
    <x v="1"/>
    <x v="1"/>
  </r>
  <r>
    <x v="37"/>
    <x v="0"/>
    <x v="0"/>
    <x v="3"/>
    <x v="37"/>
    <x v="37"/>
    <x v="36"/>
    <x v="36"/>
    <x v="36"/>
    <x v="36"/>
    <x v="16"/>
    <x v="241"/>
    <x v="293"/>
    <x v="137"/>
    <x v="123"/>
    <x v="178"/>
    <x v="271"/>
    <x v="1"/>
    <x v="1"/>
  </r>
  <r>
    <x v="37"/>
    <x v="0"/>
    <x v="0"/>
    <x v="3"/>
    <x v="37"/>
    <x v="37"/>
    <x v="13"/>
    <x v="13"/>
    <x v="13"/>
    <x v="13"/>
    <x v="16"/>
    <x v="241"/>
    <x v="293"/>
    <x v="55"/>
    <x v="201"/>
    <x v="175"/>
    <x v="134"/>
    <x v="1"/>
    <x v="1"/>
  </r>
  <r>
    <x v="37"/>
    <x v="0"/>
    <x v="0"/>
    <x v="3"/>
    <x v="37"/>
    <x v="37"/>
    <x v="32"/>
    <x v="32"/>
    <x v="32"/>
    <x v="32"/>
    <x v="16"/>
    <x v="241"/>
    <x v="293"/>
    <x v="146"/>
    <x v="275"/>
    <x v="179"/>
    <x v="427"/>
    <x v="1"/>
    <x v="1"/>
  </r>
  <r>
    <x v="37"/>
    <x v="0"/>
    <x v="0"/>
    <x v="3"/>
    <x v="37"/>
    <x v="37"/>
    <x v="45"/>
    <x v="45"/>
    <x v="45"/>
    <x v="45"/>
    <x v="19"/>
    <x v="277"/>
    <x v="214"/>
    <x v="185"/>
    <x v="11"/>
    <x v="187"/>
    <x v="428"/>
    <x v="1"/>
    <x v="1"/>
  </r>
  <r>
    <x v="37"/>
    <x v="0"/>
    <x v="0"/>
    <x v="3"/>
    <x v="37"/>
    <x v="37"/>
    <x v="19"/>
    <x v="19"/>
    <x v="19"/>
    <x v="19"/>
    <x v="19"/>
    <x v="277"/>
    <x v="214"/>
    <x v="58"/>
    <x v="490"/>
    <x v="77"/>
    <x v="118"/>
    <x v="1"/>
    <x v="1"/>
  </r>
  <r>
    <x v="38"/>
    <x v="0"/>
    <x v="0"/>
    <x v="3"/>
    <x v="38"/>
    <x v="38"/>
    <x v="2"/>
    <x v="2"/>
    <x v="2"/>
    <x v="2"/>
    <x v="0"/>
    <x v="313"/>
    <x v="467"/>
    <x v="244"/>
    <x v="511"/>
    <x v="106"/>
    <x v="429"/>
    <x v="1"/>
    <x v="1"/>
  </r>
  <r>
    <x v="38"/>
    <x v="0"/>
    <x v="0"/>
    <x v="3"/>
    <x v="38"/>
    <x v="38"/>
    <x v="1"/>
    <x v="1"/>
    <x v="1"/>
    <x v="1"/>
    <x v="1"/>
    <x v="319"/>
    <x v="409"/>
    <x v="251"/>
    <x v="512"/>
    <x v="100"/>
    <x v="5"/>
    <x v="1"/>
    <x v="1"/>
  </r>
  <r>
    <x v="38"/>
    <x v="0"/>
    <x v="0"/>
    <x v="3"/>
    <x v="38"/>
    <x v="38"/>
    <x v="4"/>
    <x v="4"/>
    <x v="4"/>
    <x v="4"/>
    <x v="2"/>
    <x v="286"/>
    <x v="468"/>
    <x v="252"/>
    <x v="27"/>
    <x v="170"/>
    <x v="430"/>
    <x v="1"/>
    <x v="1"/>
  </r>
  <r>
    <x v="38"/>
    <x v="0"/>
    <x v="0"/>
    <x v="3"/>
    <x v="38"/>
    <x v="38"/>
    <x v="27"/>
    <x v="27"/>
    <x v="27"/>
    <x v="27"/>
    <x v="3"/>
    <x v="247"/>
    <x v="388"/>
    <x v="223"/>
    <x v="513"/>
    <x v="103"/>
    <x v="310"/>
    <x v="1"/>
    <x v="1"/>
  </r>
  <r>
    <x v="38"/>
    <x v="0"/>
    <x v="0"/>
    <x v="3"/>
    <x v="38"/>
    <x v="38"/>
    <x v="34"/>
    <x v="34"/>
    <x v="34"/>
    <x v="34"/>
    <x v="4"/>
    <x v="263"/>
    <x v="469"/>
    <x v="172"/>
    <x v="514"/>
    <x v="100"/>
    <x v="5"/>
    <x v="1"/>
    <x v="1"/>
  </r>
  <r>
    <x v="38"/>
    <x v="0"/>
    <x v="0"/>
    <x v="3"/>
    <x v="38"/>
    <x v="38"/>
    <x v="0"/>
    <x v="0"/>
    <x v="0"/>
    <x v="0"/>
    <x v="5"/>
    <x v="320"/>
    <x v="285"/>
    <x v="240"/>
    <x v="515"/>
    <x v="77"/>
    <x v="431"/>
    <x v="1"/>
    <x v="1"/>
  </r>
  <r>
    <x v="38"/>
    <x v="0"/>
    <x v="0"/>
    <x v="3"/>
    <x v="38"/>
    <x v="38"/>
    <x v="5"/>
    <x v="5"/>
    <x v="5"/>
    <x v="5"/>
    <x v="6"/>
    <x v="209"/>
    <x v="470"/>
    <x v="197"/>
    <x v="516"/>
    <x v="108"/>
    <x v="281"/>
    <x v="8"/>
    <x v="39"/>
  </r>
  <r>
    <x v="38"/>
    <x v="0"/>
    <x v="0"/>
    <x v="3"/>
    <x v="38"/>
    <x v="38"/>
    <x v="6"/>
    <x v="6"/>
    <x v="6"/>
    <x v="6"/>
    <x v="7"/>
    <x v="101"/>
    <x v="471"/>
    <x v="132"/>
    <x v="112"/>
    <x v="87"/>
    <x v="165"/>
    <x v="4"/>
    <x v="40"/>
  </r>
  <r>
    <x v="38"/>
    <x v="0"/>
    <x v="0"/>
    <x v="3"/>
    <x v="38"/>
    <x v="38"/>
    <x v="9"/>
    <x v="9"/>
    <x v="9"/>
    <x v="9"/>
    <x v="8"/>
    <x v="70"/>
    <x v="6"/>
    <x v="169"/>
    <x v="517"/>
    <x v="108"/>
    <x v="281"/>
    <x v="1"/>
    <x v="1"/>
  </r>
  <r>
    <x v="38"/>
    <x v="0"/>
    <x v="0"/>
    <x v="3"/>
    <x v="38"/>
    <x v="38"/>
    <x v="3"/>
    <x v="3"/>
    <x v="3"/>
    <x v="3"/>
    <x v="9"/>
    <x v="90"/>
    <x v="472"/>
    <x v="214"/>
    <x v="484"/>
    <x v="69"/>
    <x v="73"/>
    <x v="1"/>
    <x v="1"/>
  </r>
  <r>
    <x v="38"/>
    <x v="0"/>
    <x v="0"/>
    <x v="3"/>
    <x v="38"/>
    <x v="38"/>
    <x v="10"/>
    <x v="10"/>
    <x v="10"/>
    <x v="10"/>
    <x v="10"/>
    <x v="291"/>
    <x v="473"/>
    <x v="202"/>
    <x v="518"/>
    <x v="92"/>
    <x v="374"/>
    <x v="1"/>
    <x v="1"/>
  </r>
  <r>
    <x v="38"/>
    <x v="0"/>
    <x v="0"/>
    <x v="3"/>
    <x v="38"/>
    <x v="38"/>
    <x v="11"/>
    <x v="11"/>
    <x v="11"/>
    <x v="11"/>
    <x v="11"/>
    <x v="308"/>
    <x v="61"/>
    <x v="107"/>
    <x v="519"/>
    <x v="69"/>
    <x v="73"/>
    <x v="1"/>
    <x v="1"/>
  </r>
  <r>
    <x v="38"/>
    <x v="0"/>
    <x v="0"/>
    <x v="3"/>
    <x v="38"/>
    <x v="38"/>
    <x v="7"/>
    <x v="7"/>
    <x v="7"/>
    <x v="7"/>
    <x v="12"/>
    <x v="116"/>
    <x v="317"/>
    <x v="194"/>
    <x v="520"/>
    <x v="108"/>
    <x v="281"/>
    <x v="1"/>
    <x v="1"/>
  </r>
  <r>
    <x v="38"/>
    <x v="0"/>
    <x v="0"/>
    <x v="3"/>
    <x v="38"/>
    <x v="38"/>
    <x v="8"/>
    <x v="8"/>
    <x v="8"/>
    <x v="8"/>
    <x v="13"/>
    <x v="118"/>
    <x v="14"/>
    <x v="134"/>
    <x v="250"/>
    <x v="181"/>
    <x v="406"/>
    <x v="1"/>
    <x v="1"/>
  </r>
  <r>
    <x v="38"/>
    <x v="0"/>
    <x v="0"/>
    <x v="3"/>
    <x v="38"/>
    <x v="38"/>
    <x v="16"/>
    <x v="16"/>
    <x v="16"/>
    <x v="16"/>
    <x v="14"/>
    <x v="276"/>
    <x v="99"/>
    <x v="39"/>
    <x v="405"/>
    <x v="87"/>
    <x v="165"/>
    <x v="1"/>
    <x v="1"/>
  </r>
  <r>
    <x v="38"/>
    <x v="0"/>
    <x v="0"/>
    <x v="3"/>
    <x v="38"/>
    <x v="38"/>
    <x v="12"/>
    <x v="12"/>
    <x v="12"/>
    <x v="12"/>
    <x v="15"/>
    <x v="281"/>
    <x v="213"/>
    <x v="86"/>
    <x v="69"/>
    <x v="88"/>
    <x v="260"/>
    <x v="1"/>
    <x v="1"/>
  </r>
  <r>
    <x v="38"/>
    <x v="0"/>
    <x v="0"/>
    <x v="3"/>
    <x v="38"/>
    <x v="38"/>
    <x v="15"/>
    <x v="15"/>
    <x v="15"/>
    <x v="15"/>
    <x v="16"/>
    <x v="303"/>
    <x v="326"/>
    <x v="72"/>
    <x v="35"/>
    <x v="108"/>
    <x v="281"/>
    <x v="1"/>
    <x v="1"/>
  </r>
  <r>
    <x v="38"/>
    <x v="0"/>
    <x v="0"/>
    <x v="3"/>
    <x v="38"/>
    <x v="38"/>
    <x v="13"/>
    <x v="13"/>
    <x v="13"/>
    <x v="13"/>
    <x v="17"/>
    <x v="131"/>
    <x v="267"/>
    <x v="68"/>
    <x v="278"/>
    <x v="184"/>
    <x v="392"/>
    <x v="1"/>
    <x v="1"/>
  </r>
  <r>
    <x v="38"/>
    <x v="0"/>
    <x v="0"/>
    <x v="3"/>
    <x v="38"/>
    <x v="38"/>
    <x v="21"/>
    <x v="21"/>
    <x v="21"/>
    <x v="21"/>
    <x v="18"/>
    <x v="231"/>
    <x v="253"/>
    <x v="185"/>
    <x v="521"/>
    <x v="103"/>
    <x v="310"/>
    <x v="1"/>
    <x v="1"/>
  </r>
  <r>
    <x v="38"/>
    <x v="0"/>
    <x v="0"/>
    <x v="3"/>
    <x v="38"/>
    <x v="38"/>
    <x v="20"/>
    <x v="20"/>
    <x v="20"/>
    <x v="20"/>
    <x v="19"/>
    <x v="240"/>
    <x v="216"/>
    <x v="71"/>
    <x v="522"/>
    <x v="80"/>
    <x v="169"/>
    <x v="4"/>
    <x v="40"/>
  </r>
  <r>
    <x v="39"/>
    <x v="0"/>
    <x v="0"/>
    <x v="4"/>
    <x v="39"/>
    <x v="39"/>
    <x v="4"/>
    <x v="4"/>
    <x v="4"/>
    <x v="4"/>
    <x v="0"/>
    <x v="119"/>
    <x v="474"/>
    <x v="56"/>
    <x v="523"/>
    <x v="108"/>
    <x v="432"/>
    <x v="1"/>
    <x v="38"/>
  </r>
  <r>
    <x v="39"/>
    <x v="0"/>
    <x v="0"/>
    <x v="4"/>
    <x v="39"/>
    <x v="39"/>
    <x v="1"/>
    <x v="1"/>
    <x v="1"/>
    <x v="1"/>
    <x v="1"/>
    <x v="230"/>
    <x v="475"/>
    <x v="50"/>
    <x v="524"/>
    <x v="180"/>
    <x v="336"/>
    <x v="1"/>
    <x v="38"/>
  </r>
  <r>
    <x v="39"/>
    <x v="0"/>
    <x v="0"/>
    <x v="4"/>
    <x v="39"/>
    <x v="39"/>
    <x v="0"/>
    <x v="0"/>
    <x v="0"/>
    <x v="0"/>
    <x v="2"/>
    <x v="231"/>
    <x v="476"/>
    <x v="50"/>
    <x v="524"/>
    <x v="179"/>
    <x v="417"/>
    <x v="1"/>
    <x v="38"/>
  </r>
  <r>
    <x v="39"/>
    <x v="0"/>
    <x v="0"/>
    <x v="4"/>
    <x v="39"/>
    <x v="39"/>
    <x v="9"/>
    <x v="9"/>
    <x v="9"/>
    <x v="9"/>
    <x v="3"/>
    <x v="240"/>
    <x v="477"/>
    <x v="137"/>
    <x v="497"/>
    <x v="184"/>
    <x v="214"/>
    <x v="1"/>
    <x v="38"/>
  </r>
  <r>
    <x v="39"/>
    <x v="0"/>
    <x v="0"/>
    <x v="4"/>
    <x v="39"/>
    <x v="39"/>
    <x v="11"/>
    <x v="11"/>
    <x v="11"/>
    <x v="11"/>
    <x v="4"/>
    <x v="234"/>
    <x v="478"/>
    <x v="185"/>
    <x v="525"/>
    <x v="175"/>
    <x v="433"/>
    <x v="1"/>
    <x v="38"/>
  </r>
  <r>
    <x v="39"/>
    <x v="0"/>
    <x v="0"/>
    <x v="4"/>
    <x v="39"/>
    <x v="39"/>
    <x v="5"/>
    <x v="5"/>
    <x v="5"/>
    <x v="5"/>
    <x v="5"/>
    <x v="277"/>
    <x v="479"/>
    <x v="137"/>
    <x v="497"/>
    <x v="181"/>
    <x v="187"/>
    <x v="1"/>
    <x v="38"/>
  </r>
  <r>
    <x v="39"/>
    <x v="0"/>
    <x v="0"/>
    <x v="4"/>
    <x v="39"/>
    <x v="39"/>
    <x v="2"/>
    <x v="2"/>
    <x v="2"/>
    <x v="2"/>
    <x v="6"/>
    <x v="253"/>
    <x v="166"/>
    <x v="56"/>
    <x v="523"/>
    <x v="178"/>
    <x v="396"/>
    <x v="1"/>
    <x v="38"/>
  </r>
  <r>
    <x v="39"/>
    <x v="0"/>
    <x v="0"/>
    <x v="4"/>
    <x v="39"/>
    <x v="39"/>
    <x v="6"/>
    <x v="6"/>
    <x v="6"/>
    <x v="6"/>
    <x v="6"/>
    <x v="253"/>
    <x v="166"/>
    <x v="185"/>
    <x v="525"/>
    <x v="181"/>
    <x v="187"/>
    <x v="1"/>
    <x v="38"/>
  </r>
  <r>
    <x v="39"/>
    <x v="0"/>
    <x v="0"/>
    <x v="4"/>
    <x v="39"/>
    <x v="39"/>
    <x v="12"/>
    <x v="12"/>
    <x v="12"/>
    <x v="12"/>
    <x v="8"/>
    <x v="321"/>
    <x v="465"/>
    <x v="135"/>
    <x v="526"/>
    <x v="180"/>
    <x v="336"/>
    <x v="1"/>
    <x v="38"/>
  </r>
  <r>
    <x v="39"/>
    <x v="0"/>
    <x v="0"/>
    <x v="4"/>
    <x v="39"/>
    <x v="39"/>
    <x v="13"/>
    <x v="13"/>
    <x v="13"/>
    <x v="13"/>
    <x v="8"/>
    <x v="321"/>
    <x v="465"/>
    <x v="135"/>
    <x v="526"/>
    <x v="180"/>
    <x v="336"/>
    <x v="1"/>
    <x v="38"/>
  </r>
  <r>
    <x v="39"/>
    <x v="0"/>
    <x v="0"/>
    <x v="4"/>
    <x v="39"/>
    <x v="39"/>
    <x v="10"/>
    <x v="10"/>
    <x v="10"/>
    <x v="10"/>
    <x v="10"/>
    <x v="256"/>
    <x v="90"/>
    <x v="135"/>
    <x v="526"/>
    <x v="187"/>
    <x v="434"/>
    <x v="1"/>
    <x v="38"/>
  </r>
  <r>
    <x v="39"/>
    <x v="0"/>
    <x v="0"/>
    <x v="4"/>
    <x v="39"/>
    <x v="39"/>
    <x v="18"/>
    <x v="18"/>
    <x v="18"/>
    <x v="18"/>
    <x v="11"/>
    <x v="257"/>
    <x v="226"/>
    <x v="57"/>
    <x v="381"/>
    <x v="178"/>
    <x v="396"/>
    <x v="1"/>
    <x v="38"/>
  </r>
  <r>
    <x v="39"/>
    <x v="0"/>
    <x v="0"/>
    <x v="4"/>
    <x v="39"/>
    <x v="39"/>
    <x v="8"/>
    <x v="8"/>
    <x v="8"/>
    <x v="8"/>
    <x v="11"/>
    <x v="257"/>
    <x v="226"/>
    <x v="74"/>
    <x v="527"/>
    <x v="179"/>
    <x v="417"/>
    <x v="1"/>
    <x v="38"/>
  </r>
  <r>
    <x v="39"/>
    <x v="0"/>
    <x v="0"/>
    <x v="4"/>
    <x v="39"/>
    <x v="39"/>
    <x v="17"/>
    <x v="17"/>
    <x v="17"/>
    <x v="17"/>
    <x v="13"/>
    <x v="322"/>
    <x v="172"/>
    <x v="57"/>
    <x v="381"/>
    <x v="180"/>
    <x v="336"/>
    <x v="1"/>
    <x v="38"/>
  </r>
  <r>
    <x v="39"/>
    <x v="0"/>
    <x v="0"/>
    <x v="4"/>
    <x v="39"/>
    <x v="39"/>
    <x v="19"/>
    <x v="19"/>
    <x v="19"/>
    <x v="19"/>
    <x v="14"/>
    <x v="323"/>
    <x v="335"/>
    <x v="225"/>
    <x v="332"/>
    <x v="178"/>
    <x v="396"/>
    <x v="1"/>
    <x v="38"/>
  </r>
  <r>
    <x v="39"/>
    <x v="0"/>
    <x v="0"/>
    <x v="4"/>
    <x v="39"/>
    <x v="39"/>
    <x v="32"/>
    <x v="32"/>
    <x v="32"/>
    <x v="32"/>
    <x v="14"/>
    <x v="323"/>
    <x v="335"/>
    <x v="58"/>
    <x v="300"/>
    <x v="179"/>
    <x v="417"/>
    <x v="1"/>
    <x v="38"/>
  </r>
  <r>
    <x v="39"/>
    <x v="0"/>
    <x v="0"/>
    <x v="4"/>
    <x v="39"/>
    <x v="39"/>
    <x v="46"/>
    <x v="46"/>
    <x v="46"/>
    <x v="46"/>
    <x v="16"/>
    <x v="324"/>
    <x v="14"/>
    <x v="57"/>
    <x v="381"/>
    <x v="181"/>
    <x v="187"/>
    <x v="1"/>
    <x v="38"/>
  </r>
  <r>
    <x v="39"/>
    <x v="0"/>
    <x v="0"/>
    <x v="4"/>
    <x v="39"/>
    <x v="39"/>
    <x v="15"/>
    <x v="15"/>
    <x v="15"/>
    <x v="15"/>
    <x v="16"/>
    <x v="324"/>
    <x v="14"/>
    <x v="225"/>
    <x v="332"/>
    <x v="180"/>
    <x v="336"/>
    <x v="1"/>
    <x v="38"/>
  </r>
  <r>
    <x v="39"/>
    <x v="0"/>
    <x v="0"/>
    <x v="4"/>
    <x v="39"/>
    <x v="39"/>
    <x v="37"/>
    <x v="37"/>
    <x v="37"/>
    <x v="37"/>
    <x v="18"/>
    <x v="325"/>
    <x v="267"/>
    <x v="225"/>
    <x v="332"/>
    <x v="187"/>
    <x v="434"/>
    <x v="1"/>
    <x v="38"/>
  </r>
  <r>
    <x v="39"/>
    <x v="0"/>
    <x v="0"/>
    <x v="4"/>
    <x v="39"/>
    <x v="39"/>
    <x v="47"/>
    <x v="47"/>
    <x v="47"/>
    <x v="47"/>
    <x v="19"/>
    <x v="326"/>
    <x v="407"/>
    <x v="225"/>
    <x v="332"/>
    <x v="181"/>
    <x v="187"/>
    <x v="1"/>
    <x v="38"/>
  </r>
  <r>
    <x v="39"/>
    <x v="0"/>
    <x v="0"/>
    <x v="4"/>
    <x v="39"/>
    <x v="39"/>
    <x v="14"/>
    <x v="14"/>
    <x v="14"/>
    <x v="14"/>
    <x v="19"/>
    <x v="326"/>
    <x v="407"/>
    <x v="71"/>
    <x v="528"/>
    <x v="179"/>
    <x v="417"/>
    <x v="1"/>
    <x v="38"/>
  </r>
  <r>
    <x v="39"/>
    <x v="0"/>
    <x v="0"/>
    <x v="4"/>
    <x v="39"/>
    <x v="39"/>
    <x v="3"/>
    <x v="3"/>
    <x v="3"/>
    <x v="3"/>
    <x v="19"/>
    <x v="326"/>
    <x v="407"/>
    <x v="225"/>
    <x v="332"/>
    <x v="181"/>
    <x v="187"/>
    <x v="1"/>
    <x v="38"/>
  </r>
  <r>
    <x v="39"/>
    <x v="0"/>
    <x v="0"/>
    <x v="4"/>
    <x v="39"/>
    <x v="39"/>
    <x v="31"/>
    <x v="31"/>
    <x v="31"/>
    <x v="31"/>
    <x v="19"/>
    <x v="326"/>
    <x v="407"/>
    <x v="71"/>
    <x v="528"/>
    <x v="179"/>
    <x v="417"/>
    <x v="1"/>
    <x v="38"/>
  </r>
  <r>
    <x v="39"/>
    <x v="0"/>
    <x v="0"/>
    <x v="4"/>
    <x v="39"/>
    <x v="39"/>
    <x v="35"/>
    <x v="35"/>
    <x v="35"/>
    <x v="35"/>
    <x v="19"/>
    <x v="326"/>
    <x v="407"/>
    <x v="71"/>
    <x v="528"/>
    <x v="179"/>
    <x v="417"/>
    <x v="1"/>
    <x v="38"/>
  </r>
  <r>
    <x v="39"/>
    <x v="0"/>
    <x v="0"/>
    <x v="4"/>
    <x v="39"/>
    <x v="39"/>
    <x v="20"/>
    <x v="20"/>
    <x v="20"/>
    <x v="20"/>
    <x v="19"/>
    <x v="326"/>
    <x v="407"/>
    <x v="225"/>
    <x v="332"/>
    <x v="181"/>
    <x v="187"/>
    <x v="1"/>
    <x v="38"/>
  </r>
  <r>
    <x v="40"/>
    <x v="0"/>
    <x v="0"/>
    <x v="4"/>
    <x v="40"/>
    <x v="40"/>
    <x v="36"/>
    <x v="36"/>
    <x v="36"/>
    <x v="36"/>
    <x v="0"/>
    <x v="135"/>
    <x v="480"/>
    <x v="221"/>
    <x v="529"/>
    <x v="111"/>
    <x v="435"/>
    <x v="1"/>
    <x v="38"/>
  </r>
  <r>
    <x v="40"/>
    <x v="0"/>
    <x v="0"/>
    <x v="4"/>
    <x v="40"/>
    <x v="40"/>
    <x v="4"/>
    <x v="4"/>
    <x v="4"/>
    <x v="4"/>
    <x v="1"/>
    <x v="72"/>
    <x v="481"/>
    <x v="173"/>
    <x v="530"/>
    <x v="102"/>
    <x v="436"/>
    <x v="1"/>
    <x v="38"/>
  </r>
  <r>
    <x v="40"/>
    <x v="0"/>
    <x v="0"/>
    <x v="4"/>
    <x v="40"/>
    <x v="40"/>
    <x v="9"/>
    <x v="9"/>
    <x v="9"/>
    <x v="9"/>
    <x v="2"/>
    <x v="239"/>
    <x v="482"/>
    <x v="69"/>
    <x v="531"/>
    <x v="88"/>
    <x v="186"/>
    <x v="1"/>
    <x v="38"/>
  </r>
  <r>
    <x v="40"/>
    <x v="0"/>
    <x v="0"/>
    <x v="4"/>
    <x v="40"/>
    <x v="40"/>
    <x v="1"/>
    <x v="1"/>
    <x v="1"/>
    <x v="1"/>
    <x v="2"/>
    <x v="239"/>
    <x v="482"/>
    <x v="99"/>
    <x v="532"/>
    <x v="179"/>
    <x v="373"/>
    <x v="1"/>
    <x v="38"/>
  </r>
  <r>
    <x v="40"/>
    <x v="0"/>
    <x v="0"/>
    <x v="4"/>
    <x v="40"/>
    <x v="40"/>
    <x v="2"/>
    <x v="2"/>
    <x v="2"/>
    <x v="2"/>
    <x v="4"/>
    <x v="227"/>
    <x v="483"/>
    <x v="82"/>
    <x v="315"/>
    <x v="80"/>
    <x v="437"/>
    <x v="1"/>
    <x v="38"/>
  </r>
  <r>
    <x v="40"/>
    <x v="0"/>
    <x v="0"/>
    <x v="4"/>
    <x v="40"/>
    <x v="40"/>
    <x v="0"/>
    <x v="0"/>
    <x v="0"/>
    <x v="0"/>
    <x v="4"/>
    <x v="227"/>
    <x v="483"/>
    <x v="183"/>
    <x v="424"/>
    <x v="188"/>
    <x v="273"/>
    <x v="1"/>
    <x v="38"/>
  </r>
  <r>
    <x v="40"/>
    <x v="0"/>
    <x v="0"/>
    <x v="4"/>
    <x v="40"/>
    <x v="40"/>
    <x v="10"/>
    <x v="10"/>
    <x v="10"/>
    <x v="10"/>
    <x v="6"/>
    <x v="265"/>
    <x v="224"/>
    <x v="54"/>
    <x v="47"/>
    <x v="88"/>
    <x v="186"/>
    <x v="1"/>
    <x v="38"/>
  </r>
  <r>
    <x v="40"/>
    <x v="0"/>
    <x v="0"/>
    <x v="4"/>
    <x v="40"/>
    <x v="40"/>
    <x v="11"/>
    <x v="11"/>
    <x v="11"/>
    <x v="11"/>
    <x v="7"/>
    <x v="276"/>
    <x v="6"/>
    <x v="64"/>
    <x v="533"/>
    <x v="178"/>
    <x v="236"/>
    <x v="1"/>
    <x v="38"/>
  </r>
  <r>
    <x v="40"/>
    <x v="0"/>
    <x v="0"/>
    <x v="4"/>
    <x v="40"/>
    <x v="40"/>
    <x v="5"/>
    <x v="5"/>
    <x v="5"/>
    <x v="5"/>
    <x v="8"/>
    <x v="303"/>
    <x v="141"/>
    <x v="64"/>
    <x v="533"/>
    <x v="187"/>
    <x v="256"/>
    <x v="1"/>
    <x v="38"/>
  </r>
  <r>
    <x v="40"/>
    <x v="0"/>
    <x v="0"/>
    <x v="4"/>
    <x v="40"/>
    <x v="40"/>
    <x v="16"/>
    <x v="16"/>
    <x v="16"/>
    <x v="16"/>
    <x v="9"/>
    <x v="231"/>
    <x v="484"/>
    <x v="146"/>
    <x v="66"/>
    <x v="175"/>
    <x v="438"/>
    <x v="1"/>
    <x v="38"/>
  </r>
  <r>
    <x v="40"/>
    <x v="0"/>
    <x v="0"/>
    <x v="4"/>
    <x v="40"/>
    <x v="40"/>
    <x v="7"/>
    <x v="7"/>
    <x v="7"/>
    <x v="7"/>
    <x v="10"/>
    <x v="234"/>
    <x v="200"/>
    <x v="66"/>
    <x v="302"/>
    <x v="180"/>
    <x v="246"/>
    <x v="1"/>
    <x v="38"/>
  </r>
  <r>
    <x v="40"/>
    <x v="0"/>
    <x v="0"/>
    <x v="4"/>
    <x v="40"/>
    <x v="40"/>
    <x v="12"/>
    <x v="12"/>
    <x v="12"/>
    <x v="12"/>
    <x v="11"/>
    <x v="277"/>
    <x v="50"/>
    <x v="53"/>
    <x v="534"/>
    <x v="179"/>
    <x v="373"/>
    <x v="1"/>
    <x v="38"/>
  </r>
  <r>
    <x v="40"/>
    <x v="0"/>
    <x v="0"/>
    <x v="4"/>
    <x v="40"/>
    <x v="40"/>
    <x v="13"/>
    <x v="13"/>
    <x v="13"/>
    <x v="13"/>
    <x v="11"/>
    <x v="277"/>
    <x v="50"/>
    <x v="72"/>
    <x v="124"/>
    <x v="178"/>
    <x v="236"/>
    <x v="1"/>
    <x v="38"/>
  </r>
  <r>
    <x v="40"/>
    <x v="0"/>
    <x v="0"/>
    <x v="4"/>
    <x v="40"/>
    <x v="40"/>
    <x v="32"/>
    <x v="32"/>
    <x v="32"/>
    <x v="32"/>
    <x v="13"/>
    <x v="254"/>
    <x v="366"/>
    <x v="72"/>
    <x v="124"/>
    <x v="187"/>
    <x v="256"/>
    <x v="1"/>
    <x v="38"/>
  </r>
  <r>
    <x v="40"/>
    <x v="0"/>
    <x v="0"/>
    <x v="4"/>
    <x v="40"/>
    <x v="40"/>
    <x v="34"/>
    <x v="34"/>
    <x v="34"/>
    <x v="34"/>
    <x v="14"/>
    <x v="255"/>
    <x v="394"/>
    <x v="74"/>
    <x v="81"/>
    <x v="180"/>
    <x v="246"/>
    <x v="1"/>
    <x v="38"/>
  </r>
  <r>
    <x v="40"/>
    <x v="0"/>
    <x v="0"/>
    <x v="4"/>
    <x v="40"/>
    <x v="40"/>
    <x v="39"/>
    <x v="39"/>
    <x v="39"/>
    <x v="39"/>
    <x v="15"/>
    <x v="321"/>
    <x v="19"/>
    <x v="135"/>
    <x v="72"/>
    <x v="180"/>
    <x v="246"/>
    <x v="1"/>
    <x v="38"/>
  </r>
  <r>
    <x v="40"/>
    <x v="0"/>
    <x v="0"/>
    <x v="4"/>
    <x v="40"/>
    <x v="40"/>
    <x v="38"/>
    <x v="38"/>
    <x v="38"/>
    <x v="38"/>
    <x v="15"/>
    <x v="321"/>
    <x v="19"/>
    <x v="56"/>
    <x v="16"/>
    <x v="181"/>
    <x v="439"/>
    <x v="1"/>
    <x v="38"/>
  </r>
  <r>
    <x v="40"/>
    <x v="0"/>
    <x v="0"/>
    <x v="4"/>
    <x v="40"/>
    <x v="40"/>
    <x v="6"/>
    <x v="6"/>
    <x v="6"/>
    <x v="6"/>
    <x v="15"/>
    <x v="321"/>
    <x v="19"/>
    <x v="55"/>
    <x v="374"/>
    <x v="114"/>
    <x v="242"/>
    <x v="1"/>
    <x v="38"/>
  </r>
  <r>
    <x v="40"/>
    <x v="0"/>
    <x v="0"/>
    <x v="4"/>
    <x v="40"/>
    <x v="40"/>
    <x v="42"/>
    <x v="42"/>
    <x v="42"/>
    <x v="42"/>
    <x v="18"/>
    <x v="256"/>
    <x v="159"/>
    <x v="74"/>
    <x v="81"/>
    <x v="181"/>
    <x v="439"/>
    <x v="1"/>
    <x v="38"/>
  </r>
  <r>
    <x v="40"/>
    <x v="0"/>
    <x v="0"/>
    <x v="4"/>
    <x v="40"/>
    <x v="40"/>
    <x v="26"/>
    <x v="26"/>
    <x v="26"/>
    <x v="26"/>
    <x v="18"/>
    <x v="256"/>
    <x v="159"/>
    <x v="135"/>
    <x v="72"/>
    <x v="187"/>
    <x v="256"/>
    <x v="1"/>
    <x v="38"/>
  </r>
  <r>
    <x v="40"/>
    <x v="0"/>
    <x v="0"/>
    <x v="4"/>
    <x v="40"/>
    <x v="40"/>
    <x v="8"/>
    <x v="8"/>
    <x v="8"/>
    <x v="8"/>
    <x v="18"/>
    <x v="256"/>
    <x v="159"/>
    <x v="55"/>
    <x v="374"/>
    <x v="188"/>
    <x v="273"/>
    <x v="1"/>
    <x v="38"/>
  </r>
  <r>
    <x v="41"/>
    <x v="0"/>
    <x v="0"/>
    <x v="4"/>
    <x v="41"/>
    <x v="41"/>
    <x v="4"/>
    <x v="4"/>
    <x v="4"/>
    <x v="4"/>
    <x v="0"/>
    <x v="142"/>
    <x v="485"/>
    <x v="39"/>
    <x v="417"/>
    <x v="64"/>
    <x v="440"/>
    <x v="1"/>
    <x v="38"/>
  </r>
  <r>
    <x v="41"/>
    <x v="0"/>
    <x v="0"/>
    <x v="4"/>
    <x v="41"/>
    <x v="41"/>
    <x v="1"/>
    <x v="1"/>
    <x v="1"/>
    <x v="1"/>
    <x v="1"/>
    <x v="74"/>
    <x v="179"/>
    <x v="121"/>
    <x v="535"/>
    <x v="77"/>
    <x v="441"/>
    <x v="1"/>
    <x v="38"/>
  </r>
  <r>
    <x v="41"/>
    <x v="0"/>
    <x v="0"/>
    <x v="4"/>
    <x v="41"/>
    <x v="41"/>
    <x v="16"/>
    <x v="16"/>
    <x v="16"/>
    <x v="16"/>
    <x v="2"/>
    <x v="227"/>
    <x v="486"/>
    <x v="66"/>
    <x v="198"/>
    <x v="113"/>
    <x v="442"/>
    <x v="1"/>
    <x v="38"/>
  </r>
  <r>
    <x v="41"/>
    <x v="0"/>
    <x v="0"/>
    <x v="4"/>
    <x v="41"/>
    <x v="41"/>
    <x v="0"/>
    <x v="0"/>
    <x v="0"/>
    <x v="0"/>
    <x v="2"/>
    <x v="227"/>
    <x v="486"/>
    <x v="160"/>
    <x v="536"/>
    <x v="187"/>
    <x v="439"/>
    <x v="1"/>
    <x v="38"/>
  </r>
  <r>
    <x v="41"/>
    <x v="0"/>
    <x v="0"/>
    <x v="4"/>
    <x v="41"/>
    <x v="41"/>
    <x v="9"/>
    <x v="9"/>
    <x v="9"/>
    <x v="9"/>
    <x v="4"/>
    <x v="249"/>
    <x v="487"/>
    <x v="85"/>
    <x v="537"/>
    <x v="177"/>
    <x v="443"/>
    <x v="1"/>
    <x v="38"/>
  </r>
  <r>
    <x v="41"/>
    <x v="0"/>
    <x v="0"/>
    <x v="4"/>
    <x v="41"/>
    <x v="41"/>
    <x v="3"/>
    <x v="3"/>
    <x v="3"/>
    <x v="3"/>
    <x v="5"/>
    <x v="229"/>
    <x v="440"/>
    <x v="68"/>
    <x v="47"/>
    <x v="103"/>
    <x v="444"/>
    <x v="1"/>
    <x v="38"/>
  </r>
  <r>
    <x v="41"/>
    <x v="0"/>
    <x v="0"/>
    <x v="4"/>
    <x v="41"/>
    <x v="41"/>
    <x v="10"/>
    <x v="10"/>
    <x v="10"/>
    <x v="10"/>
    <x v="6"/>
    <x v="292"/>
    <x v="59"/>
    <x v="50"/>
    <x v="538"/>
    <x v="178"/>
    <x v="71"/>
    <x v="1"/>
    <x v="38"/>
  </r>
  <r>
    <x v="41"/>
    <x v="0"/>
    <x v="0"/>
    <x v="4"/>
    <x v="41"/>
    <x v="41"/>
    <x v="2"/>
    <x v="2"/>
    <x v="2"/>
    <x v="2"/>
    <x v="6"/>
    <x v="292"/>
    <x v="59"/>
    <x v="68"/>
    <x v="47"/>
    <x v="77"/>
    <x v="441"/>
    <x v="1"/>
    <x v="38"/>
  </r>
  <r>
    <x v="41"/>
    <x v="0"/>
    <x v="0"/>
    <x v="4"/>
    <x v="41"/>
    <x v="41"/>
    <x v="11"/>
    <x v="11"/>
    <x v="11"/>
    <x v="11"/>
    <x v="8"/>
    <x v="230"/>
    <x v="442"/>
    <x v="185"/>
    <x v="456"/>
    <x v="87"/>
    <x v="25"/>
    <x v="1"/>
    <x v="38"/>
  </r>
  <r>
    <x v="41"/>
    <x v="0"/>
    <x v="0"/>
    <x v="4"/>
    <x v="41"/>
    <x v="41"/>
    <x v="26"/>
    <x v="26"/>
    <x v="26"/>
    <x v="26"/>
    <x v="8"/>
    <x v="230"/>
    <x v="442"/>
    <x v="185"/>
    <x v="456"/>
    <x v="87"/>
    <x v="25"/>
    <x v="1"/>
    <x v="38"/>
  </r>
  <r>
    <x v="41"/>
    <x v="0"/>
    <x v="0"/>
    <x v="4"/>
    <x v="41"/>
    <x v="41"/>
    <x v="6"/>
    <x v="6"/>
    <x v="6"/>
    <x v="6"/>
    <x v="10"/>
    <x v="282"/>
    <x v="196"/>
    <x v="50"/>
    <x v="538"/>
    <x v="187"/>
    <x v="439"/>
    <x v="1"/>
    <x v="38"/>
  </r>
  <r>
    <x v="41"/>
    <x v="0"/>
    <x v="0"/>
    <x v="4"/>
    <x v="41"/>
    <x v="41"/>
    <x v="5"/>
    <x v="5"/>
    <x v="5"/>
    <x v="5"/>
    <x v="11"/>
    <x v="252"/>
    <x v="303"/>
    <x v="39"/>
    <x v="417"/>
    <x v="181"/>
    <x v="423"/>
    <x v="1"/>
    <x v="38"/>
  </r>
  <r>
    <x v="41"/>
    <x v="0"/>
    <x v="0"/>
    <x v="4"/>
    <x v="41"/>
    <x v="41"/>
    <x v="13"/>
    <x v="13"/>
    <x v="13"/>
    <x v="13"/>
    <x v="12"/>
    <x v="232"/>
    <x v="488"/>
    <x v="55"/>
    <x v="539"/>
    <x v="184"/>
    <x v="180"/>
    <x v="1"/>
    <x v="38"/>
  </r>
  <r>
    <x v="41"/>
    <x v="0"/>
    <x v="0"/>
    <x v="4"/>
    <x v="41"/>
    <x v="41"/>
    <x v="32"/>
    <x v="32"/>
    <x v="32"/>
    <x v="32"/>
    <x v="13"/>
    <x v="233"/>
    <x v="11"/>
    <x v="146"/>
    <x v="540"/>
    <x v="187"/>
    <x v="439"/>
    <x v="1"/>
    <x v="38"/>
  </r>
  <r>
    <x v="41"/>
    <x v="0"/>
    <x v="0"/>
    <x v="4"/>
    <x v="41"/>
    <x v="41"/>
    <x v="15"/>
    <x v="15"/>
    <x v="15"/>
    <x v="15"/>
    <x v="14"/>
    <x v="234"/>
    <x v="489"/>
    <x v="58"/>
    <x v="227"/>
    <x v="176"/>
    <x v="291"/>
    <x v="1"/>
    <x v="38"/>
  </r>
  <r>
    <x v="41"/>
    <x v="0"/>
    <x v="0"/>
    <x v="4"/>
    <x v="41"/>
    <x v="41"/>
    <x v="41"/>
    <x v="41"/>
    <x v="41"/>
    <x v="41"/>
    <x v="15"/>
    <x v="254"/>
    <x v="48"/>
    <x v="135"/>
    <x v="34"/>
    <x v="88"/>
    <x v="57"/>
    <x v="1"/>
    <x v="38"/>
  </r>
  <r>
    <x v="41"/>
    <x v="0"/>
    <x v="0"/>
    <x v="4"/>
    <x v="41"/>
    <x v="41"/>
    <x v="8"/>
    <x v="8"/>
    <x v="8"/>
    <x v="8"/>
    <x v="15"/>
    <x v="254"/>
    <x v="48"/>
    <x v="53"/>
    <x v="7"/>
    <x v="188"/>
    <x v="273"/>
    <x v="1"/>
    <x v="38"/>
  </r>
  <r>
    <x v="41"/>
    <x v="0"/>
    <x v="0"/>
    <x v="4"/>
    <x v="41"/>
    <x v="41"/>
    <x v="12"/>
    <x v="12"/>
    <x v="12"/>
    <x v="12"/>
    <x v="17"/>
    <x v="255"/>
    <x v="213"/>
    <x v="137"/>
    <x v="316"/>
    <x v="188"/>
    <x v="273"/>
    <x v="1"/>
    <x v="38"/>
  </r>
  <r>
    <x v="41"/>
    <x v="0"/>
    <x v="0"/>
    <x v="4"/>
    <x v="41"/>
    <x v="41"/>
    <x v="43"/>
    <x v="43"/>
    <x v="43"/>
    <x v="43"/>
    <x v="18"/>
    <x v="256"/>
    <x v="215"/>
    <x v="71"/>
    <x v="541"/>
    <x v="175"/>
    <x v="445"/>
    <x v="1"/>
    <x v="38"/>
  </r>
  <r>
    <x v="41"/>
    <x v="0"/>
    <x v="0"/>
    <x v="4"/>
    <x v="41"/>
    <x v="41"/>
    <x v="45"/>
    <x v="45"/>
    <x v="45"/>
    <x v="45"/>
    <x v="19"/>
    <x v="257"/>
    <x v="230"/>
    <x v="74"/>
    <x v="542"/>
    <x v="179"/>
    <x v="245"/>
    <x v="1"/>
    <x v="38"/>
  </r>
  <r>
    <x v="41"/>
    <x v="0"/>
    <x v="0"/>
    <x v="4"/>
    <x v="41"/>
    <x v="41"/>
    <x v="48"/>
    <x v="48"/>
    <x v="48"/>
    <x v="48"/>
    <x v="19"/>
    <x v="257"/>
    <x v="230"/>
    <x v="71"/>
    <x v="541"/>
    <x v="88"/>
    <x v="57"/>
    <x v="1"/>
    <x v="38"/>
  </r>
  <r>
    <x v="42"/>
    <x v="0"/>
    <x v="0"/>
    <x v="4"/>
    <x v="42"/>
    <x v="42"/>
    <x v="0"/>
    <x v="0"/>
    <x v="0"/>
    <x v="0"/>
    <x v="0"/>
    <x v="238"/>
    <x v="490"/>
    <x v="65"/>
    <x v="543"/>
    <x v="181"/>
    <x v="446"/>
    <x v="4"/>
    <x v="19"/>
  </r>
  <r>
    <x v="42"/>
    <x v="0"/>
    <x v="0"/>
    <x v="4"/>
    <x v="42"/>
    <x v="42"/>
    <x v="1"/>
    <x v="1"/>
    <x v="1"/>
    <x v="1"/>
    <x v="1"/>
    <x v="288"/>
    <x v="491"/>
    <x v="102"/>
    <x v="544"/>
    <x v="184"/>
    <x v="447"/>
    <x v="1"/>
    <x v="1"/>
  </r>
  <r>
    <x v="42"/>
    <x v="0"/>
    <x v="0"/>
    <x v="4"/>
    <x v="42"/>
    <x v="42"/>
    <x v="2"/>
    <x v="2"/>
    <x v="2"/>
    <x v="2"/>
    <x v="2"/>
    <x v="251"/>
    <x v="492"/>
    <x v="97"/>
    <x v="545"/>
    <x v="87"/>
    <x v="448"/>
    <x v="1"/>
    <x v="1"/>
  </r>
  <r>
    <x v="42"/>
    <x v="0"/>
    <x v="0"/>
    <x v="4"/>
    <x v="42"/>
    <x v="42"/>
    <x v="4"/>
    <x v="4"/>
    <x v="4"/>
    <x v="4"/>
    <x v="3"/>
    <x v="249"/>
    <x v="493"/>
    <x v="135"/>
    <x v="121"/>
    <x v="68"/>
    <x v="449"/>
    <x v="1"/>
    <x v="1"/>
  </r>
  <r>
    <x v="42"/>
    <x v="0"/>
    <x v="0"/>
    <x v="4"/>
    <x v="42"/>
    <x v="42"/>
    <x v="6"/>
    <x v="6"/>
    <x v="6"/>
    <x v="6"/>
    <x v="4"/>
    <x v="77"/>
    <x v="41"/>
    <x v="49"/>
    <x v="546"/>
    <x v="178"/>
    <x v="0"/>
    <x v="1"/>
    <x v="1"/>
  </r>
  <r>
    <x v="42"/>
    <x v="0"/>
    <x v="0"/>
    <x v="4"/>
    <x v="42"/>
    <x v="42"/>
    <x v="3"/>
    <x v="3"/>
    <x v="3"/>
    <x v="3"/>
    <x v="5"/>
    <x v="303"/>
    <x v="24"/>
    <x v="124"/>
    <x v="344"/>
    <x v="93"/>
    <x v="102"/>
    <x v="1"/>
    <x v="1"/>
  </r>
  <r>
    <x v="42"/>
    <x v="0"/>
    <x v="0"/>
    <x v="4"/>
    <x v="42"/>
    <x v="42"/>
    <x v="9"/>
    <x v="9"/>
    <x v="9"/>
    <x v="9"/>
    <x v="6"/>
    <x v="120"/>
    <x v="322"/>
    <x v="39"/>
    <x v="547"/>
    <x v="184"/>
    <x v="447"/>
    <x v="1"/>
    <x v="1"/>
  </r>
  <r>
    <x v="42"/>
    <x v="0"/>
    <x v="0"/>
    <x v="4"/>
    <x v="42"/>
    <x v="42"/>
    <x v="5"/>
    <x v="5"/>
    <x v="5"/>
    <x v="5"/>
    <x v="7"/>
    <x v="282"/>
    <x v="494"/>
    <x v="50"/>
    <x v="548"/>
    <x v="187"/>
    <x v="16"/>
    <x v="1"/>
    <x v="1"/>
  </r>
  <r>
    <x v="42"/>
    <x v="0"/>
    <x v="0"/>
    <x v="4"/>
    <x v="42"/>
    <x v="42"/>
    <x v="10"/>
    <x v="10"/>
    <x v="10"/>
    <x v="10"/>
    <x v="8"/>
    <x v="231"/>
    <x v="473"/>
    <x v="84"/>
    <x v="327"/>
    <x v="93"/>
    <x v="102"/>
    <x v="1"/>
    <x v="1"/>
  </r>
  <r>
    <x v="42"/>
    <x v="0"/>
    <x v="0"/>
    <x v="4"/>
    <x v="42"/>
    <x v="42"/>
    <x v="18"/>
    <x v="18"/>
    <x v="18"/>
    <x v="18"/>
    <x v="9"/>
    <x v="234"/>
    <x v="265"/>
    <x v="146"/>
    <x v="549"/>
    <x v="114"/>
    <x v="450"/>
    <x v="8"/>
    <x v="20"/>
  </r>
  <r>
    <x v="42"/>
    <x v="0"/>
    <x v="0"/>
    <x v="4"/>
    <x v="42"/>
    <x v="42"/>
    <x v="8"/>
    <x v="8"/>
    <x v="8"/>
    <x v="8"/>
    <x v="9"/>
    <x v="234"/>
    <x v="265"/>
    <x v="146"/>
    <x v="549"/>
    <x v="181"/>
    <x v="446"/>
    <x v="1"/>
    <x v="1"/>
  </r>
  <r>
    <x v="42"/>
    <x v="0"/>
    <x v="0"/>
    <x v="4"/>
    <x v="42"/>
    <x v="42"/>
    <x v="11"/>
    <x v="11"/>
    <x v="11"/>
    <x v="11"/>
    <x v="11"/>
    <x v="241"/>
    <x v="495"/>
    <x v="135"/>
    <x v="121"/>
    <x v="101"/>
    <x v="451"/>
    <x v="1"/>
    <x v="1"/>
  </r>
  <r>
    <x v="42"/>
    <x v="0"/>
    <x v="0"/>
    <x v="4"/>
    <x v="42"/>
    <x v="42"/>
    <x v="14"/>
    <x v="14"/>
    <x v="14"/>
    <x v="14"/>
    <x v="11"/>
    <x v="241"/>
    <x v="495"/>
    <x v="57"/>
    <x v="319"/>
    <x v="92"/>
    <x v="139"/>
    <x v="1"/>
    <x v="1"/>
  </r>
  <r>
    <x v="42"/>
    <x v="0"/>
    <x v="0"/>
    <x v="4"/>
    <x v="42"/>
    <x v="42"/>
    <x v="12"/>
    <x v="12"/>
    <x v="12"/>
    <x v="12"/>
    <x v="13"/>
    <x v="277"/>
    <x v="31"/>
    <x v="66"/>
    <x v="353"/>
    <x v="114"/>
    <x v="450"/>
    <x v="1"/>
    <x v="1"/>
  </r>
  <r>
    <x v="42"/>
    <x v="0"/>
    <x v="0"/>
    <x v="4"/>
    <x v="42"/>
    <x v="42"/>
    <x v="15"/>
    <x v="15"/>
    <x v="15"/>
    <x v="15"/>
    <x v="14"/>
    <x v="255"/>
    <x v="14"/>
    <x v="58"/>
    <x v="509"/>
    <x v="88"/>
    <x v="366"/>
    <x v="1"/>
    <x v="1"/>
  </r>
  <r>
    <x v="42"/>
    <x v="0"/>
    <x v="0"/>
    <x v="4"/>
    <x v="42"/>
    <x v="42"/>
    <x v="16"/>
    <x v="16"/>
    <x v="16"/>
    <x v="16"/>
    <x v="15"/>
    <x v="321"/>
    <x v="496"/>
    <x v="145"/>
    <x v="521"/>
    <x v="88"/>
    <x v="366"/>
    <x v="1"/>
    <x v="1"/>
  </r>
  <r>
    <x v="42"/>
    <x v="0"/>
    <x v="0"/>
    <x v="4"/>
    <x v="42"/>
    <x v="42"/>
    <x v="26"/>
    <x v="26"/>
    <x v="26"/>
    <x v="26"/>
    <x v="16"/>
    <x v="257"/>
    <x v="327"/>
    <x v="145"/>
    <x v="521"/>
    <x v="180"/>
    <x v="452"/>
    <x v="1"/>
    <x v="1"/>
  </r>
  <r>
    <x v="42"/>
    <x v="0"/>
    <x v="0"/>
    <x v="4"/>
    <x v="42"/>
    <x v="42"/>
    <x v="7"/>
    <x v="7"/>
    <x v="7"/>
    <x v="7"/>
    <x v="16"/>
    <x v="257"/>
    <x v="327"/>
    <x v="74"/>
    <x v="550"/>
    <x v="179"/>
    <x v="453"/>
    <x v="1"/>
    <x v="1"/>
  </r>
  <r>
    <x v="42"/>
    <x v="0"/>
    <x v="0"/>
    <x v="4"/>
    <x v="42"/>
    <x v="42"/>
    <x v="13"/>
    <x v="13"/>
    <x v="13"/>
    <x v="13"/>
    <x v="16"/>
    <x v="257"/>
    <x v="327"/>
    <x v="135"/>
    <x v="121"/>
    <x v="181"/>
    <x v="446"/>
    <x v="1"/>
    <x v="1"/>
  </r>
  <r>
    <x v="42"/>
    <x v="0"/>
    <x v="0"/>
    <x v="4"/>
    <x v="42"/>
    <x v="42"/>
    <x v="19"/>
    <x v="19"/>
    <x v="19"/>
    <x v="19"/>
    <x v="19"/>
    <x v="322"/>
    <x v="308"/>
    <x v="145"/>
    <x v="521"/>
    <x v="187"/>
    <x v="16"/>
    <x v="1"/>
    <x v="1"/>
  </r>
  <r>
    <x v="43"/>
    <x v="0"/>
    <x v="0"/>
    <x v="4"/>
    <x v="43"/>
    <x v="43"/>
    <x v="4"/>
    <x v="4"/>
    <x v="4"/>
    <x v="4"/>
    <x v="0"/>
    <x v="130"/>
    <x v="497"/>
    <x v="108"/>
    <x v="551"/>
    <x v="80"/>
    <x v="454"/>
    <x v="1"/>
    <x v="1"/>
  </r>
  <r>
    <x v="43"/>
    <x v="0"/>
    <x v="0"/>
    <x v="4"/>
    <x v="43"/>
    <x v="43"/>
    <x v="1"/>
    <x v="1"/>
    <x v="1"/>
    <x v="1"/>
    <x v="1"/>
    <x v="120"/>
    <x v="498"/>
    <x v="86"/>
    <x v="552"/>
    <x v="181"/>
    <x v="180"/>
    <x v="1"/>
    <x v="1"/>
  </r>
  <r>
    <x v="43"/>
    <x v="0"/>
    <x v="0"/>
    <x v="4"/>
    <x v="43"/>
    <x v="43"/>
    <x v="9"/>
    <x v="9"/>
    <x v="9"/>
    <x v="9"/>
    <x v="2"/>
    <x v="292"/>
    <x v="499"/>
    <x v="97"/>
    <x v="553"/>
    <x v="181"/>
    <x v="180"/>
    <x v="1"/>
    <x v="1"/>
  </r>
  <r>
    <x v="43"/>
    <x v="0"/>
    <x v="0"/>
    <x v="4"/>
    <x v="43"/>
    <x v="43"/>
    <x v="2"/>
    <x v="2"/>
    <x v="2"/>
    <x v="2"/>
    <x v="3"/>
    <x v="230"/>
    <x v="500"/>
    <x v="48"/>
    <x v="554"/>
    <x v="178"/>
    <x v="455"/>
    <x v="1"/>
    <x v="1"/>
  </r>
  <r>
    <x v="43"/>
    <x v="0"/>
    <x v="0"/>
    <x v="4"/>
    <x v="43"/>
    <x v="43"/>
    <x v="0"/>
    <x v="0"/>
    <x v="0"/>
    <x v="0"/>
    <x v="4"/>
    <x v="241"/>
    <x v="501"/>
    <x v="73"/>
    <x v="555"/>
    <x v="114"/>
    <x v="117"/>
    <x v="1"/>
    <x v="1"/>
  </r>
  <r>
    <x v="43"/>
    <x v="0"/>
    <x v="0"/>
    <x v="4"/>
    <x v="43"/>
    <x v="43"/>
    <x v="38"/>
    <x v="38"/>
    <x v="38"/>
    <x v="38"/>
    <x v="5"/>
    <x v="253"/>
    <x v="6"/>
    <x v="55"/>
    <x v="329"/>
    <x v="187"/>
    <x v="456"/>
    <x v="1"/>
    <x v="1"/>
  </r>
  <r>
    <x v="43"/>
    <x v="0"/>
    <x v="0"/>
    <x v="4"/>
    <x v="43"/>
    <x v="43"/>
    <x v="11"/>
    <x v="11"/>
    <x v="11"/>
    <x v="11"/>
    <x v="6"/>
    <x v="255"/>
    <x v="110"/>
    <x v="137"/>
    <x v="440"/>
    <x v="188"/>
    <x v="273"/>
    <x v="1"/>
    <x v="1"/>
  </r>
  <r>
    <x v="43"/>
    <x v="0"/>
    <x v="0"/>
    <x v="4"/>
    <x v="43"/>
    <x v="43"/>
    <x v="16"/>
    <x v="16"/>
    <x v="16"/>
    <x v="16"/>
    <x v="6"/>
    <x v="255"/>
    <x v="110"/>
    <x v="56"/>
    <x v="296"/>
    <x v="187"/>
    <x v="456"/>
    <x v="1"/>
    <x v="1"/>
  </r>
  <r>
    <x v="43"/>
    <x v="0"/>
    <x v="0"/>
    <x v="4"/>
    <x v="43"/>
    <x v="43"/>
    <x v="5"/>
    <x v="5"/>
    <x v="5"/>
    <x v="5"/>
    <x v="6"/>
    <x v="255"/>
    <x v="110"/>
    <x v="185"/>
    <x v="212"/>
    <x v="114"/>
    <x v="117"/>
    <x v="1"/>
    <x v="1"/>
  </r>
  <r>
    <x v="43"/>
    <x v="0"/>
    <x v="0"/>
    <x v="4"/>
    <x v="43"/>
    <x v="43"/>
    <x v="42"/>
    <x v="42"/>
    <x v="42"/>
    <x v="42"/>
    <x v="9"/>
    <x v="321"/>
    <x v="502"/>
    <x v="57"/>
    <x v="556"/>
    <x v="175"/>
    <x v="457"/>
    <x v="1"/>
    <x v="1"/>
  </r>
  <r>
    <x v="43"/>
    <x v="0"/>
    <x v="0"/>
    <x v="4"/>
    <x v="43"/>
    <x v="43"/>
    <x v="10"/>
    <x v="10"/>
    <x v="10"/>
    <x v="10"/>
    <x v="9"/>
    <x v="321"/>
    <x v="502"/>
    <x v="72"/>
    <x v="557"/>
    <x v="179"/>
    <x v="333"/>
    <x v="1"/>
    <x v="1"/>
  </r>
  <r>
    <x v="43"/>
    <x v="0"/>
    <x v="0"/>
    <x v="4"/>
    <x v="43"/>
    <x v="43"/>
    <x v="6"/>
    <x v="6"/>
    <x v="6"/>
    <x v="6"/>
    <x v="11"/>
    <x v="256"/>
    <x v="324"/>
    <x v="55"/>
    <x v="329"/>
    <x v="188"/>
    <x v="273"/>
    <x v="1"/>
    <x v="1"/>
  </r>
  <r>
    <x v="43"/>
    <x v="0"/>
    <x v="0"/>
    <x v="4"/>
    <x v="43"/>
    <x v="43"/>
    <x v="43"/>
    <x v="43"/>
    <x v="43"/>
    <x v="43"/>
    <x v="12"/>
    <x v="257"/>
    <x v="443"/>
    <x v="56"/>
    <x v="296"/>
    <x v="114"/>
    <x v="117"/>
    <x v="1"/>
    <x v="1"/>
  </r>
  <r>
    <x v="43"/>
    <x v="0"/>
    <x v="0"/>
    <x v="4"/>
    <x v="43"/>
    <x v="43"/>
    <x v="13"/>
    <x v="13"/>
    <x v="13"/>
    <x v="13"/>
    <x v="12"/>
    <x v="257"/>
    <x v="443"/>
    <x v="135"/>
    <x v="363"/>
    <x v="181"/>
    <x v="180"/>
    <x v="1"/>
    <x v="1"/>
  </r>
  <r>
    <x v="43"/>
    <x v="0"/>
    <x v="0"/>
    <x v="4"/>
    <x v="43"/>
    <x v="43"/>
    <x v="32"/>
    <x v="32"/>
    <x v="32"/>
    <x v="32"/>
    <x v="12"/>
    <x v="257"/>
    <x v="443"/>
    <x v="72"/>
    <x v="557"/>
    <x v="188"/>
    <x v="273"/>
    <x v="1"/>
    <x v="1"/>
  </r>
  <r>
    <x v="43"/>
    <x v="0"/>
    <x v="0"/>
    <x v="4"/>
    <x v="43"/>
    <x v="43"/>
    <x v="7"/>
    <x v="7"/>
    <x v="7"/>
    <x v="7"/>
    <x v="15"/>
    <x v="322"/>
    <x v="144"/>
    <x v="74"/>
    <x v="558"/>
    <x v="114"/>
    <x v="117"/>
    <x v="1"/>
    <x v="1"/>
  </r>
  <r>
    <x v="43"/>
    <x v="0"/>
    <x v="0"/>
    <x v="4"/>
    <x v="43"/>
    <x v="43"/>
    <x v="8"/>
    <x v="8"/>
    <x v="8"/>
    <x v="8"/>
    <x v="16"/>
    <x v="323"/>
    <x v="241"/>
    <x v="74"/>
    <x v="558"/>
    <x v="188"/>
    <x v="273"/>
    <x v="1"/>
    <x v="1"/>
  </r>
  <r>
    <x v="43"/>
    <x v="0"/>
    <x v="0"/>
    <x v="4"/>
    <x v="43"/>
    <x v="43"/>
    <x v="39"/>
    <x v="39"/>
    <x v="39"/>
    <x v="39"/>
    <x v="17"/>
    <x v="324"/>
    <x v="266"/>
    <x v="57"/>
    <x v="556"/>
    <x v="181"/>
    <x v="180"/>
    <x v="1"/>
    <x v="1"/>
  </r>
  <r>
    <x v="43"/>
    <x v="0"/>
    <x v="0"/>
    <x v="4"/>
    <x v="43"/>
    <x v="43"/>
    <x v="45"/>
    <x v="45"/>
    <x v="45"/>
    <x v="45"/>
    <x v="17"/>
    <x v="324"/>
    <x v="266"/>
    <x v="135"/>
    <x v="363"/>
    <x v="188"/>
    <x v="273"/>
    <x v="1"/>
    <x v="1"/>
  </r>
  <r>
    <x v="43"/>
    <x v="0"/>
    <x v="0"/>
    <x v="4"/>
    <x v="43"/>
    <x v="43"/>
    <x v="46"/>
    <x v="46"/>
    <x v="46"/>
    <x v="46"/>
    <x v="17"/>
    <x v="324"/>
    <x v="266"/>
    <x v="57"/>
    <x v="556"/>
    <x v="181"/>
    <x v="180"/>
    <x v="1"/>
    <x v="1"/>
  </r>
  <r>
    <x v="43"/>
    <x v="0"/>
    <x v="0"/>
    <x v="4"/>
    <x v="43"/>
    <x v="43"/>
    <x v="26"/>
    <x v="26"/>
    <x v="26"/>
    <x v="26"/>
    <x v="17"/>
    <x v="324"/>
    <x v="266"/>
    <x v="145"/>
    <x v="28"/>
    <x v="179"/>
    <x v="333"/>
    <x v="1"/>
    <x v="1"/>
  </r>
  <r>
    <x v="44"/>
    <x v="0"/>
    <x v="0"/>
    <x v="4"/>
    <x v="44"/>
    <x v="44"/>
    <x v="1"/>
    <x v="1"/>
    <x v="1"/>
    <x v="1"/>
    <x v="0"/>
    <x v="105"/>
    <x v="503"/>
    <x v="67"/>
    <x v="559"/>
    <x v="88"/>
    <x v="438"/>
    <x v="1"/>
    <x v="38"/>
  </r>
  <r>
    <x v="44"/>
    <x v="0"/>
    <x v="0"/>
    <x v="4"/>
    <x v="44"/>
    <x v="44"/>
    <x v="2"/>
    <x v="2"/>
    <x v="2"/>
    <x v="2"/>
    <x v="1"/>
    <x v="250"/>
    <x v="485"/>
    <x v="86"/>
    <x v="560"/>
    <x v="70"/>
    <x v="458"/>
    <x v="1"/>
    <x v="38"/>
  </r>
  <r>
    <x v="44"/>
    <x v="0"/>
    <x v="0"/>
    <x v="4"/>
    <x v="44"/>
    <x v="44"/>
    <x v="4"/>
    <x v="4"/>
    <x v="4"/>
    <x v="4"/>
    <x v="2"/>
    <x v="130"/>
    <x v="504"/>
    <x v="146"/>
    <x v="64"/>
    <x v="83"/>
    <x v="459"/>
    <x v="1"/>
    <x v="38"/>
  </r>
  <r>
    <x v="44"/>
    <x v="0"/>
    <x v="0"/>
    <x v="4"/>
    <x v="44"/>
    <x v="44"/>
    <x v="3"/>
    <x v="3"/>
    <x v="3"/>
    <x v="3"/>
    <x v="3"/>
    <x v="251"/>
    <x v="2"/>
    <x v="82"/>
    <x v="561"/>
    <x v="103"/>
    <x v="460"/>
    <x v="1"/>
    <x v="38"/>
  </r>
  <r>
    <x v="44"/>
    <x v="0"/>
    <x v="0"/>
    <x v="4"/>
    <x v="44"/>
    <x v="44"/>
    <x v="0"/>
    <x v="0"/>
    <x v="0"/>
    <x v="0"/>
    <x v="3"/>
    <x v="251"/>
    <x v="2"/>
    <x v="52"/>
    <x v="562"/>
    <x v="181"/>
    <x v="331"/>
    <x v="1"/>
    <x v="38"/>
  </r>
  <r>
    <x v="44"/>
    <x v="0"/>
    <x v="0"/>
    <x v="4"/>
    <x v="44"/>
    <x v="44"/>
    <x v="6"/>
    <x v="6"/>
    <x v="6"/>
    <x v="6"/>
    <x v="5"/>
    <x v="120"/>
    <x v="505"/>
    <x v="124"/>
    <x v="148"/>
    <x v="178"/>
    <x v="50"/>
    <x v="1"/>
    <x v="38"/>
  </r>
  <r>
    <x v="44"/>
    <x v="0"/>
    <x v="0"/>
    <x v="4"/>
    <x v="44"/>
    <x v="44"/>
    <x v="5"/>
    <x v="5"/>
    <x v="5"/>
    <x v="5"/>
    <x v="6"/>
    <x v="240"/>
    <x v="168"/>
    <x v="68"/>
    <x v="563"/>
    <x v="180"/>
    <x v="26"/>
    <x v="1"/>
    <x v="38"/>
  </r>
  <r>
    <x v="44"/>
    <x v="0"/>
    <x v="0"/>
    <x v="4"/>
    <x v="44"/>
    <x v="44"/>
    <x v="9"/>
    <x v="9"/>
    <x v="9"/>
    <x v="9"/>
    <x v="7"/>
    <x v="252"/>
    <x v="506"/>
    <x v="68"/>
    <x v="563"/>
    <x v="187"/>
    <x v="310"/>
    <x v="1"/>
    <x v="38"/>
  </r>
  <r>
    <x v="44"/>
    <x v="0"/>
    <x v="0"/>
    <x v="4"/>
    <x v="44"/>
    <x v="44"/>
    <x v="10"/>
    <x v="10"/>
    <x v="10"/>
    <x v="10"/>
    <x v="7"/>
    <x v="252"/>
    <x v="506"/>
    <x v="84"/>
    <x v="564"/>
    <x v="88"/>
    <x v="438"/>
    <x v="1"/>
    <x v="38"/>
  </r>
  <r>
    <x v="44"/>
    <x v="0"/>
    <x v="0"/>
    <x v="4"/>
    <x v="44"/>
    <x v="44"/>
    <x v="11"/>
    <x v="11"/>
    <x v="11"/>
    <x v="11"/>
    <x v="9"/>
    <x v="241"/>
    <x v="291"/>
    <x v="58"/>
    <x v="366"/>
    <x v="103"/>
    <x v="460"/>
    <x v="1"/>
    <x v="38"/>
  </r>
  <r>
    <x v="44"/>
    <x v="0"/>
    <x v="0"/>
    <x v="4"/>
    <x v="44"/>
    <x v="44"/>
    <x v="16"/>
    <x v="16"/>
    <x v="16"/>
    <x v="16"/>
    <x v="10"/>
    <x v="297"/>
    <x v="495"/>
    <x v="137"/>
    <x v="565"/>
    <x v="187"/>
    <x v="310"/>
    <x v="1"/>
    <x v="38"/>
  </r>
  <r>
    <x v="44"/>
    <x v="0"/>
    <x v="0"/>
    <x v="4"/>
    <x v="44"/>
    <x v="44"/>
    <x v="29"/>
    <x v="29"/>
    <x v="29"/>
    <x v="29"/>
    <x v="10"/>
    <x v="297"/>
    <x v="495"/>
    <x v="66"/>
    <x v="236"/>
    <x v="179"/>
    <x v="120"/>
    <x v="1"/>
    <x v="38"/>
  </r>
  <r>
    <x v="44"/>
    <x v="0"/>
    <x v="0"/>
    <x v="4"/>
    <x v="44"/>
    <x v="44"/>
    <x v="13"/>
    <x v="13"/>
    <x v="13"/>
    <x v="13"/>
    <x v="12"/>
    <x v="277"/>
    <x v="346"/>
    <x v="135"/>
    <x v="566"/>
    <x v="93"/>
    <x v="461"/>
    <x v="1"/>
    <x v="38"/>
  </r>
  <r>
    <x v="44"/>
    <x v="0"/>
    <x v="0"/>
    <x v="4"/>
    <x v="44"/>
    <x v="44"/>
    <x v="7"/>
    <x v="7"/>
    <x v="7"/>
    <x v="7"/>
    <x v="13"/>
    <x v="255"/>
    <x v="34"/>
    <x v="55"/>
    <x v="567"/>
    <x v="179"/>
    <x v="120"/>
    <x v="1"/>
    <x v="38"/>
  </r>
  <r>
    <x v="44"/>
    <x v="0"/>
    <x v="0"/>
    <x v="4"/>
    <x v="44"/>
    <x v="44"/>
    <x v="8"/>
    <x v="8"/>
    <x v="8"/>
    <x v="8"/>
    <x v="13"/>
    <x v="255"/>
    <x v="34"/>
    <x v="137"/>
    <x v="565"/>
    <x v="188"/>
    <x v="273"/>
    <x v="1"/>
    <x v="38"/>
  </r>
  <r>
    <x v="44"/>
    <x v="0"/>
    <x v="0"/>
    <x v="4"/>
    <x v="44"/>
    <x v="44"/>
    <x v="32"/>
    <x v="32"/>
    <x v="32"/>
    <x v="32"/>
    <x v="15"/>
    <x v="321"/>
    <x v="48"/>
    <x v="72"/>
    <x v="166"/>
    <x v="179"/>
    <x v="120"/>
    <x v="1"/>
    <x v="38"/>
  </r>
  <r>
    <x v="44"/>
    <x v="0"/>
    <x v="0"/>
    <x v="4"/>
    <x v="44"/>
    <x v="44"/>
    <x v="26"/>
    <x v="26"/>
    <x v="26"/>
    <x v="26"/>
    <x v="16"/>
    <x v="256"/>
    <x v="507"/>
    <x v="58"/>
    <x v="366"/>
    <x v="180"/>
    <x v="26"/>
    <x v="1"/>
    <x v="38"/>
  </r>
  <r>
    <x v="44"/>
    <x v="0"/>
    <x v="0"/>
    <x v="4"/>
    <x v="44"/>
    <x v="44"/>
    <x v="43"/>
    <x v="43"/>
    <x v="43"/>
    <x v="43"/>
    <x v="16"/>
    <x v="256"/>
    <x v="507"/>
    <x v="145"/>
    <x v="277"/>
    <x v="178"/>
    <x v="50"/>
    <x v="1"/>
    <x v="38"/>
  </r>
  <r>
    <x v="44"/>
    <x v="0"/>
    <x v="0"/>
    <x v="4"/>
    <x v="44"/>
    <x v="44"/>
    <x v="15"/>
    <x v="15"/>
    <x v="15"/>
    <x v="15"/>
    <x v="16"/>
    <x v="256"/>
    <x v="507"/>
    <x v="145"/>
    <x v="277"/>
    <x v="178"/>
    <x v="50"/>
    <x v="1"/>
    <x v="38"/>
  </r>
  <r>
    <x v="44"/>
    <x v="0"/>
    <x v="0"/>
    <x v="4"/>
    <x v="44"/>
    <x v="44"/>
    <x v="18"/>
    <x v="18"/>
    <x v="18"/>
    <x v="18"/>
    <x v="19"/>
    <x v="322"/>
    <x v="17"/>
    <x v="74"/>
    <x v="258"/>
    <x v="114"/>
    <x v="282"/>
    <x v="1"/>
    <x v="38"/>
  </r>
  <r>
    <x v="45"/>
    <x v="0"/>
    <x v="0"/>
    <x v="4"/>
    <x v="45"/>
    <x v="45"/>
    <x v="0"/>
    <x v="0"/>
    <x v="0"/>
    <x v="0"/>
    <x v="0"/>
    <x v="144"/>
    <x v="508"/>
    <x v="95"/>
    <x v="206"/>
    <x v="188"/>
    <x v="273"/>
    <x v="4"/>
    <x v="20"/>
  </r>
  <r>
    <x v="45"/>
    <x v="0"/>
    <x v="0"/>
    <x v="4"/>
    <x v="45"/>
    <x v="45"/>
    <x v="4"/>
    <x v="4"/>
    <x v="4"/>
    <x v="4"/>
    <x v="1"/>
    <x v="249"/>
    <x v="509"/>
    <x v="85"/>
    <x v="568"/>
    <x v="177"/>
    <x v="462"/>
    <x v="1"/>
    <x v="1"/>
  </r>
  <r>
    <x v="45"/>
    <x v="0"/>
    <x v="0"/>
    <x v="4"/>
    <x v="45"/>
    <x v="45"/>
    <x v="9"/>
    <x v="9"/>
    <x v="9"/>
    <x v="9"/>
    <x v="1"/>
    <x v="249"/>
    <x v="509"/>
    <x v="194"/>
    <x v="535"/>
    <x v="187"/>
    <x v="463"/>
    <x v="1"/>
    <x v="1"/>
  </r>
  <r>
    <x v="45"/>
    <x v="0"/>
    <x v="0"/>
    <x v="4"/>
    <x v="45"/>
    <x v="45"/>
    <x v="1"/>
    <x v="1"/>
    <x v="1"/>
    <x v="1"/>
    <x v="3"/>
    <x v="281"/>
    <x v="510"/>
    <x v="49"/>
    <x v="569"/>
    <x v="179"/>
    <x v="246"/>
    <x v="1"/>
    <x v="1"/>
  </r>
  <r>
    <x v="45"/>
    <x v="0"/>
    <x v="0"/>
    <x v="4"/>
    <x v="45"/>
    <x v="45"/>
    <x v="5"/>
    <x v="5"/>
    <x v="5"/>
    <x v="5"/>
    <x v="4"/>
    <x v="131"/>
    <x v="486"/>
    <x v="48"/>
    <x v="133"/>
    <x v="88"/>
    <x v="464"/>
    <x v="4"/>
    <x v="20"/>
  </r>
  <r>
    <x v="45"/>
    <x v="0"/>
    <x v="0"/>
    <x v="4"/>
    <x v="45"/>
    <x v="45"/>
    <x v="2"/>
    <x v="2"/>
    <x v="2"/>
    <x v="2"/>
    <x v="5"/>
    <x v="292"/>
    <x v="511"/>
    <x v="48"/>
    <x v="133"/>
    <x v="88"/>
    <x v="464"/>
    <x v="1"/>
    <x v="1"/>
  </r>
  <r>
    <x v="45"/>
    <x v="0"/>
    <x v="0"/>
    <x v="4"/>
    <x v="45"/>
    <x v="45"/>
    <x v="6"/>
    <x v="6"/>
    <x v="6"/>
    <x v="6"/>
    <x v="6"/>
    <x v="252"/>
    <x v="250"/>
    <x v="48"/>
    <x v="133"/>
    <x v="114"/>
    <x v="244"/>
    <x v="1"/>
    <x v="1"/>
  </r>
  <r>
    <x v="45"/>
    <x v="0"/>
    <x v="0"/>
    <x v="4"/>
    <x v="45"/>
    <x v="45"/>
    <x v="11"/>
    <x v="11"/>
    <x v="11"/>
    <x v="11"/>
    <x v="7"/>
    <x v="305"/>
    <x v="512"/>
    <x v="84"/>
    <x v="570"/>
    <x v="179"/>
    <x v="246"/>
    <x v="1"/>
    <x v="1"/>
  </r>
  <r>
    <x v="45"/>
    <x v="0"/>
    <x v="0"/>
    <x v="4"/>
    <x v="45"/>
    <x v="45"/>
    <x v="32"/>
    <x v="32"/>
    <x v="32"/>
    <x v="32"/>
    <x v="7"/>
    <x v="305"/>
    <x v="512"/>
    <x v="146"/>
    <x v="571"/>
    <x v="114"/>
    <x v="244"/>
    <x v="1"/>
    <x v="1"/>
  </r>
  <r>
    <x v="45"/>
    <x v="0"/>
    <x v="0"/>
    <x v="4"/>
    <x v="45"/>
    <x v="45"/>
    <x v="10"/>
    <x v="10"/>
    <x v="10"/>
    <x v="10"/>
    <x v="9"/>
    <x v="297"/>
    <x v="109"/>
    <x v="137"/>
    <x v="572"/>
    <x v="187"/>
    <x v="463"/>
    <x v="1"/>
    <x v="1"/>
  </r>
  <r>
    <x v="45"/>
    <x v="0"/>
    <x v="0"/>
    <x v="4"/>
    <x v="45"/>
    <x v="45"/>
    <x v="7"/>
    <x v="7"/>
    <x v="7"/>
    <x v="7"/>
    <x v="10"/>
    <x v="253"/>
    <x v="288"/>
    <x v="66"/>
    <x v="573"/>
    <x v="188"/>
    <x v="273"/>
    <x v="1"/>
    <x v="1"/>
  </r>
  <r>
    <x v="45"/>
    <x v="0"/>
    <x v="0"/>
    <x v="4"/>
    <x v="45"/>
    <x v="45"/>
    <x v="39"/>
    <x v="39"/>
    <x v="39"/>
    <x v="39"/>
    <x v="11"/>
    <x v="321"/>
    <x v="466"/>
    <x v="74"/>
    <x v="574"/>
    <x v="187"/>
    <x v="463"/>
    <x v="1"/>
    <x v="1"/>
  </r>
  <r>
    <x v="45"/>
    <x v="0"/>
    <x v="0"/>
    <x v="4"/>
    <x v="45"/>
    <x v="45"/>
    <x v="3"/>
    <x v="3"/>
    <x v="3"/>
    <x v="3"/>
    <x v="12"/>
    <x v="256"/>
    <x v="130"/>
    <x v="56"/>
    <x v="314"/>
    <x v="179"/>
    <x v="246"/>
    <x v="1"/>
    <x v="1"/>
  </r>
  <r>
    <x v="45"/>
    <x v="0"/>
    <x v="0"/>
    <x v="4"/>
    <x v="45"/>
    <x v="45"/>
    <x v="13"/>
    <x v="13"/>
    <x v="13"/>
    <x v="13"/>
    <x v="12"/>
    <x v="256"/>
    <x v="130"/>
    <x v="74"/>
    <x v="574"/>
    <x v="181"/>
    <x v="465"/>
    <x v="1"/>
    <x v="1"/>
  </r>
  <r>
    <x v="45"/>
    <x v="0"/>
    <x v="0"/>
    <x v="4"/>
    <x v="45"/>
    <x v="45"/>
    <x v="8"/>
    <x v="8"/>
    <x v="8"/>
    <x v="8"/>
    <x v="14"/>
    <x v="257"/>
    <x v="393"/>
    <x v="56"/>
    <x v="314"/>
    <x v="114"/>
    <x v="244"/>
    <x v="1"/>
    <x v="1"/>
  </r>
  <r>
    <x v="45"/>
    <x v="0"/>
    <x v="0"/>
    <x v="4"/>
    <x v="45"/>
    <x v="45"/>
    <x v="22"/>
    <x v="22"/>
    <x v="22"/>
    <x v="22"/>
    <x v="15"/>
    <x v="324"/>
    <x v="17"/>
    <x v="57"/>
    <x v="490"/>
    <x v="181"/>
    <x v="465"/>
    <x v="1"/>
    <x v="1"/>
  </r>
  <r>
    <x v="45"/>
    <x v="0"/>
    <x v="0"/>
    <x v="4"/>
    <x v="45"/>
    <x v="45"/>
    <x v="23"/>
    <x v="23"/>
    <x v="23"/>
    <x v="23"/>
    <x v="15"/>
    <x v="324"/>
    <x v="17"/>
    <x v="57"/>
    <x v="490"/>
    <x v="181"/>
    <x v="465"/>
    <x v="1"/>
    <x v="1"/>
  </r>
  <r>
    <x v="45"/>
    <x v="0"/>
    <x v="0"/>
    <x v="4"/>
    <x v="45"/>
    <x v="45"/>
    <x v="29"/>
    <x v="29"/>
    <x v="29"/>
    <x v="29"/>
    <x v="17"/>
    <x v="325"/>
    <x v="459"/>
    <x v="57"/>
    <x v="490"/>
    <x v="179"/>
    <x v="246"/>
    <x v="1"/>
    <x v="1"/>
  </r>
  <r>
    <x v="45"/>
    <x v="0"/>
    <x v="0"/>
    <x v="4"/>
    <x v="45"/>
    <x v="45"/>
    <x v="12"/>
    <x v="12"/>
    <x v="12"/>
    <x v="12"/>
    <x v="17"/>
    <x v="325"/>
    <x v="459"/>
    <x v="145"/>
    <x v="81"/>
    <x v="114"/>
    <x v="244"/>
    <x v="1"/>
    <x v="1"/>
  </r>
  <r>
    <x v="45"/>
    <x v="0"/>
    <x v="0"/>
    <x v="4"/>
    <x v="45"/>
    <x v="45"/>
    <x v="18"/>
    <x v="18"/>
    <x v="18"/>
    <x v="18"/>
    <x v="17"/>
    <x v="325"/>
    <x v="459"/>
    <x v="58"/>
    <x v="124"/>
    <x v="188"/>
    <x v="273"/>
    <x v="1"/>
    <x v="1"/>
  </r>
  <r>
    <x v="45"/>
    <x v="0"/>
    <x v="0"/>
    <x v="4"/>
    <x v="45"/>
    <x v="45"/>
    <x v="35"/>
    <x v="35"/>
    <x v="35"/>
    <x v="35"/>
    <x v="17"/>
    <x v="325"/>
    <x v="459"/>
    <x v="57"/>
    <x v="490"/>
    <x v="114"/>
    <x v="244"/>
    <x v="4"/>
    <x v="20"/>
  </r>
  <r>
    <x v="46"/>
    <x v="0"/>
    <x v="0"/>
    <x v="4"/>
    <x v="46"/>
    <x v="46"/>
    <x v="1"/>
    <x v="1"/>
    <x v="1"/>
    <x v="1"/>
    <x v="0"/>
    <x v="103"/>
    <x v="513"/>
    <x v="168"/>
    <x v="575"/>
    <x v="175"/>
    <x v="280"/>
    <x v="1"/>
    <x v="1"/>
  </r>
  <r>
    <x v="46"/>
    <x v="0"/>
    <x v="0"/>
    <x v="4"/>
    <x v="46"/>
    <x v="46"/>
    <x v="0"/>
    <x v="0"/>
    <x v="0"/>
    <x v="0"/>
    <x v="1"/>
    <x v="55"/>
    <x v="514"/>
    <x v="119"/>
    <x v="412"/>
    <x v="187"/>
    <x v="12"/>
    <x v="1"/>
    <x v="1"/>
  </r>
  <r>
    <x v="46"/>
    <x v="0"/>
    <x v="0"/>
    <x v="4"/>
    <x v="46"/>
    <x v="46"/>
    <x v="4"/>
    <x v="4"/>
    <x v="4"/>
    <x v="4"/>
    <x v="2"/>
    <x v="104"/>
    <x v="468"/>
    <x v="86"/>
    <x v="26"/>
    <x v="186"/>
    <x v="466"/>
    <x v="1"/>
    <x v="1"/>
  </r>
  <r>
    <x v="46"/>
    <x v="0"/>
    <x v="0"/>
    <x v="4"/>
    <x v="46"/>
    <x v="46"/>
    <x v="6"/>
    <x v="6"/>
    <x v="6"/>
    <x v="6"/>
    <x v="2"/>
    <x v="104"/>
    <x v="468"/>
    <x v="235"/>
    <x v="576"/>
    <x v="187"/>
    <x v="12"/>
    <x v="1"/>
    <x v="1"/>
  </r>
  <r>
    <x v="46"/>
    <x v="0"/>
    <x v="0"/>
    <x v="4"/>
    <x v="46"/>
    <x v="46"/>
    <x v="3"/>
    <x v="3"/>
    <x v="3"/>
    <x v="3"/>
    <x v="4"/>
    <x v="275"/>
    <x v="515"/>
    <x v="121"/>
    <x v="336"/>
    <x v="103"/>
    <x v="249"/>
    <x v="1"/>
    <x v="1"/>
  </r>
  <r>
    <x v="46"/>
    <x v="0"/>
    <x v="0"/>
    <x v="4"/>
    <x v="46"/>
    <x v="46"/>
    <x v="2"/>
    <x v="2"/>
    <x v="2"/>
    <x v="2"/>
    <x v="5"/>
    <x v="144"/>
    <x v="516"/>
    <x v="82"/>
    <x v="577"/>
    <x v="177"/>
    <x v="467"/>
    <x v="1"/>
    <x v="1"/>
  </r>
  <r>
    <x v="46"/>
    <x v="0"/>
    <x v="0"/>
    <x v="4"/>
    <x v="46"/>
    <x v="46"/>
    <x v="11"/>
    <x v="11"/>
    <x v="11"/>
    <x v="11"/>
    <x v="6"/>
    <x v="228"/>
    <x v="517"/>
    <x v="125"/>
    <x v="452"/>
    <x v="100"/>
    <x v="3"/>
    <x v="1"/>
    <x v="1"/>
  </r>
  <r>
    <x v="46"/>
    <x v="0"/>
    <x v="0"/>
    <x v="4"/>
    <x v="46"/>
    <x v="46"/>
    <x v="9"/>
    <x v="9"/>
    <x v="9"/>
    <x v="9"/>
    <x v="7"/>
    <x v="117"/>
    <x v="518"/>
    <x v="86"/>
    <x v="26"/>
    <x v="192"/>
    <x v="315"/>
    <x v="1"/>
    <x v="1"/>
  </r>
  <r>
    <x v="46"/>
    <x v="0"/>
    <x v="0"/>
    <x v="4"/>
    <x v="46"/>
    <x v="46"/>
    <x v="5"/>
    <x v="5"/>
    <x v="5"/>
    <x v="5"/>
    <x v="8"/>
    <x v="77"/>
    <x v="519"/>
    <x v="124"/>
    <x v="145"/>
    <x v="101"/>
    <x v="468"/>
    <x v="8"/>
    <x v="37"/>
  </r>
  <r>
    <x v="46"/>
    <x v="0"/>
    <x v="0"/>
    <x v="4"/>
    <x v="46"/>
    <x v="46"/>
    <x v="10"/>
    <x v="10"/>
    <x v="10"/>
    <x v="10"/>
    <x v="9"/>
    <x v="131"/>
    <x v="197"/>
    <x v="125"/>
    <x v="452"/>
    <x v="178"/>
    <x v="69"/>
    <x v="1"/>
    <x v="1"/>
  </r>
  <r>
    <x v="46"/>
    <x v="0"/>
    <x v="0"/>
    <x v="4"/>
    <x v="46"/>
    <x v="46"/>
    <x v="7"/>
    <x v="7"/>
    <x v="7"/>
    <x v="7"/>
    <x v="10"/>
    <x v="282"/>
    <x v="288"/>
    <x v="85"/>
    <x v="578"/>
    <x v="178"/>
    <x v="69"/>
    <x v="1"/>
    <x v="1"/>
  </r>
  <r>
    <x v="46"/>
    <x v="0"/>
    <x v="0"/>
    <x v="4"/>
    <x v="46"/>
    <x v="46"/>
    <x v="12"/>
    <x v="12"/>
    <x v="12"/>
    <x v="12"/>
    <x v="11"/>
    <x v="240"/>
    <x v="404"/>
    <x v="39"/>
    <x v="134"/>
    <x v="187"/>
    <x v="12"/>
    <x v="1"/>
    <x v="1"/>
  </r>
  <r>
    <x v="46"/>
    <x v="0"/>
    <x v="0"/>
    <x v="4"/>
    <x v="46"/>
    <x v="46"/>
    <x v="8"/>
    <x v="8"/>
    <x v="8"/>
    <x v="8"/>
    <x v="12"/>
    <x v="232"/>
    <x v="93"/>
    <x v="48"/>
    <x v="579"/>
    <x v="188"/>
    <x v="273"/>
    <x v="1"/>
    <x v="1"/>
  </r>
  <r>
    <x v="46"/>
    <x v="0"/>
    <x v="0"/>
    <x v="4"/>
    <x v="46"/>
    <x v="46"/>
    <x v="32"/>
    <x v="32"/>
    <x v="32"/>
    <x v="32"/>
    <x v="13"/>
    <x v="255"/>
    <x v="148"/>
    <x v="72"/>
    <x v="318"/>
    <x v="181"/>
    <x v="85"/>
    <x v="1"/>
    <x v="1"/>
  </r>
  <r>
    <x v="46"/>
    <x v="0"/>
    <x v="0"/>
    <x v="4"/>
    <x v="46"/>
    <x v="46"/>
    <x v="19"/>
    <x v="19"/>
    <x v="19"/>
    <x v="19"/>
    <x v="14"/>
    <x v="321"/>
    <x v="394"/>
    <x v="145"/>
    <x v="185"/>
    <x v="88"/>
    <x v="318"/>
    <x v="1"/>
    <x v="1"/>
  </r>
  <r>
    <x v="46"/>
    <x v="0"/>
    <x v="0"/>
    <x v="4"/>
    <x v="46"/>
    <x v="46"/>
    <x v="31"/>
    <x v="31"/>
    <x v="31"/>
    <x v="31"/>
    <x v="14"/>
    <x v="321"/>
    <x v="394"/>
    <x v="72"/>
    <x v="318"/>
    <x v="179"/>
    <x v="283"/>
    <x v="1"/>
    <x v="1"/>
  </r>
  <r>
    <x v="46"/>
    <x v="0"/>
    <x v="0"/>
    <x v="4"/>
    <x v="46"/>
    <x v="46"/>
    <x v="27"/>
    <x v="27"/>
    <x v="27"/>
    <x v="27"/>
    <x v="16"/>
    <x v="256"/>
    <x v="520"/>
    <x v="74"/>
    <x v="366"/>
    <x v="181"/>
    <x v="85"/>
    <x v="1"/>
    <x v="1"/>
  </r>
  <r>
    <x v="46"/>
    <x v="0"/>
    <x v="0"/>
    <x v="4"/>
    <x v="46"/>
    <x v="46"/>
    <x v="14"/>
    <x v="14"/>
    <x v="14"/>
    <x v="14"/>
    <x v="16"/>
    <x v="256"/>
    <x v="520"/>
    <x v="71"/>
    <x v="170"/>
    <x v="175"/>
    <x v="280"/>
    <x v="1"/>
    <x v="1"/>
  </r>
  <r>
    <x v="46"/>
    <x v="0"/>
    <x v="0"/>
    <x v="4"/>
    <x v="46"/>
    <x v="46"/>
    <x v="13"/>
    <x v="13"/>
    <x v="13"/>
    <x v="13"/>
    <x v="16"/>
    <x v="256"/>
    <x v="520"/>
    <x v="56"/>
    <x v="317"/>
    <x v="179"/>
    <x v="283"/>
    <x v="1"/>
    <x v="1"/>
  </r>
  <r>
    <x v="46"/>
    <x v="0"/>
    <x v="0"/>
    <x v="4"/>
    <x v="46"/>
    <x v="46"/>
    <x v="34"/>
    <x v="34"/>
    <x v="34"/>
    <x v="34"/>
    <x v="19"/>
    <x v="257"/>
    <x v="407"/>
    <x v="58"/>
    <x v="330"/>
    <x v="181"/>
    <x v="85"/>
    <x v="4"/>
    <x v="20"/>
  </r>
  <r>
    <x v="46"/>
    <x v="0"/>
    <x v="0"/>
    <x v="4"/>
    <x v="46"/>
    <x v="46"/>
    <x v="16"/>
    <x v="16"/>
    <x v="16"/>
    <x v="16"/>
    <x v="19"/>
    <x v="257"/>
    <x v="407"/>
    <x v="135"/>
    <x v="385"/>
    <x v="181"/>
    <x v="85"/>
    <x v="1"/>
    <x v="1"/>
  </r>
  <r>
    <x v="46"/>
    <x v="0"/>
    <x v="0"/>
    <x v="4"/>
    <x v="46"/>
    <x v="46"/>
    <x v="29"/>
    <x v="29"/>
    <x v="29"/>
    <x v="29"/>
    <x v="19"/>
    <x v="257"/>
    <x v="407"/>
    <x v="135"/>
    <x v="385"/>
    <x v="181"/>
    <x v="85"/>
    <x v="1"/>
    <x v="1"/>
  </r>
  <r>
    <x v="47"/>
    <x v="0"/>
    <x v="0"/>
    <x v="4"/>
    <x v="47"/>
    <x v="47"/>
    <x v="4"/>
    <x v="4"/>
    <x v="4"/>
    <x v="4"/>
    <x v="0"/>
    <x v="227"/>
    <x v="521"/>
    <x v="73"/>
    <x v="580"/>
    <x v="46"/>
    <x v="469"/>
    <x v="1"/>
    <x v="1"/>
  </r>
  <r>
    <x v="47"/>
    <x v="0"/>
    <x v="0"/>
    <x v="4"/>
    <x v="47"/>
    <x v="47"/>
    <x v="1"/>
    <x v="1"/>
    <x v="1"/>
    <x v="1"/>
    <x v="1"/>
    <x v="251"/>
    <x v="522"/>
    <x v="134"/>
    <x v="512"/>
    <x v="175"/>
    <x v="94"/>
    <x v="1"/>
    <x v="1"/>
  </r>
  <r>
    <x v="47"/>
    <x v="0"/>
    <x v="0"/>
    <x v="4"/>
    <x v="47"/>
    <x v="47"/>
    <x v="2"/>
    <x v="2"/>
    <x v="2"/>
    <x v="2"/>
    <x v="2"/>
    <x v="265"/>
    <x v="523"/>
    <x v="108"/>
    <x v="459"/>
    <x v="77"/>
    <x v="470"/>
    <x v="4"/>
    <x v="18"/>
  </r>
  <r>
    <x v="47"/>
    <x v="0"/>
    <x v="0"/>
    <x v="4"/>
    <x v="47"/>
    <x v="47"/>
    <x v="0"/>
    <x v="0"/>
    <x v="0"/>
    <x v="0"/>
    <x v="3"/>
    <x v="303"/>
    <x v="524"/>
    <x v="134"/>
    <x v="512"/>
    <x v="188"/>
    <x v="273"/>
    <x v="1"/>
    <x v="1"/>
  </r>
  <r>
    <x v="47"/>
    <x v="0"/>
    <x v="0"/>
    <x v="4"/>
    <x v="47"/>
    <x v="47"/>
    <x v="3"/>
    <x v="3"/>
    <x v="3"/>
    <x v="3"/>
    <x v="4"/>
    <x v="120"/>
    <x v="525"/>
    <x v="64"/>
    <x v="581"/>
    <x v="114"/>
    <x v="270"/>
    <x v="1"/>
    <x v="1"/>
  </r>
  <r>
    <x v="47"/>
    <x v="0"/>
    <x v="0"/>
    <x v="4"/>
    <x v="47"/>
    <x v="47"/>
    <x v="5"/>
    <x v="5"/>
    <x v="5"/>
    <x v="5"/>
    <x v="5"/>
    <x v="283"/>
    <x v="526"/>
    <x v="48"/>
    <x v="582"/>
    <x v="187"/>
    <x v="471"/>
    <x v="1"/>
    <x v="1"/>
  </r>
  <r>
    <x v="47"/>
    <x v="0"/>
    <x v="0"/>
    <x v="4"/>
    <x v="47"/>
    <x v="47"/>
    <x v="11"/>
    <x v="11"/>
    <x v="11"/>
    <x v="11"/>
    <x v="6"/>
    <x v="240"/>
    <x v="527"/>
    <x v="84"/>
    <x v="583"/>
    <x v="175"/>
    <x v="94"/>
    <x v="1"/>
    <x v="1"/>
  </r>
  <r>
    <x v="47"/>
    <x v="0"/>
    <x v="0"/>
    <x v="4"/>
    <x v="47"/>
    <x v="47"/>
    <x v="6"/>
    <x v="6"/>
    <x v="6"/>
    <x v="6"/>
    <x v="6"/>
    <x v="240"/>
    <x v="527"/>
    <x v="50"/>
    <x v="584"/>
    <x v="114"/>
    <x v="270"/>
    <x v="1"/>
    <x v="1"/>
  </r>
  <r>
    <x v="47"/>
    <x v="0"/>
    <x v="0"/>
    <x v="4"/>
    <x v="47"/>
    <x v="47"/>
    <x v="9"/>
    <x v="9"/>
    <x v="9"/>
    <x v="9"/>
    <x v="8"/>
    <x v="252"/>
    <x v="528"/>
    <x v="137"/>
    <x v="393"/>
    <x v="77"/>
    <x v="470"/>
    <x v="1"/>
    <x v="1"/>
  </r>
  <r>
    <x v="47"/>
    <x v="0"/>
    <x v="0"/>
    <x v="4"/>
    <x v="47"/>
    <x v="47"/>
    <x v="8"/>
    <x v="8"/>
    <x v="8"/>
    <x v="8"/>
    <x v="9"/>
    <x v="297"/>
    <x v="315"/>
    <x v="146"/>
    <x v="3"/>
    <x v="188"/>
    <x v="273"/>
    <x v="1"/>
    <x v="1"/>
  </r>
  <r>
    <x v="47"/>
    <x v="0"/>
    <x v="0"/>
    <x v="4"/>
    <x v="47"/>
    <x v="47"/>
    <x v="10"/>
    <x v="10"/>
    <x v="10"/>
    <x v="10"/>
    <x v="10"/>
    <x v="253"/>
    <x v="237"/>
    <x v="56"/>
    <x v="239"/>
    <x v="178"/>
    <x v="220"/>
    <x v="1"/>
    <x v="1"/>
  </r>
  <r>
    <x v="47"/>
    <x v="0"/>
    <x v="0"/>
    <x v="4"/>
    <x v="47"/>
    <x v="47"/>
    <x v="13"/>
    <x v="13"/>
    <x v="13"/>
    <x v="13"/>
    <x v="10"/>
    <x v="253"/>
    <x v="237"/>
    <x v="135"/>
    <x v="585"/>
    <x v="175"/>
    <x v="94"/>
    <x v="1"/>
    <x v="1"/>
  </r>
  <r>
    <x v="47"/>
    <x v="0"/>
    <x v="0"/>
    <x v="4"/>
    <x v="47"/>
    <x v="47"/>
    <x v="7"/>
    <x v="7"/>
    <x v="7"/>
    <x v="7"/>
    <x v="12"/>
    <x v="254"/>
    <x v="265"/>
    <x v="55"/>
    <x v="565"/>
    <x v="181"/>
    <x v="27"/>
    <x v="1"/>
    <x v="1"/>
  </r>
  <r>
    <x v="47"/>
    <x v="0"/>
    <x v="0"/>
    <x v="4"/>
    <x v="47"/>
    <x v="47"/>
    <x v="18"/>
    <x v="18"/>
    <x v="18"/>
    <x v="18"/>
    <x v="13"/>
    <x v="255"/>
    <x v="93"/>
    <x v="185"/>
    <x v="466"/>
    <x v="114"/>
    <x v="270"/>
    <x v="1"/>
    <x v="1"/>
  </r>
  <r>
    <x v="47"/>
    <x v="0"/>
    <x v="0"/>
    <x v="4"/>
    <x v="47"/>
    <x v="47"/>
    <x v="15"/>
    <x v="15"/>
    <x v="15"/>
    <x v="15"/>
    <x v="14"/>
    <x v="323"/>
    <x v="366"/>
    <x v="71"/>
    <x v="586"/>
    <x v="180"/>
    <x v="472"/>
    <x v="1"/>
    <x v="1"/>
  </r>
  <r>
    <x v="47"/>
    <x v="0"/>
    <x v="0"/>
    <x v="4"/>
    <x v="47"/>
    <x v="47"/>
    <x v="21"/>
    <x v="21"/>
    <x v="21"/>
    <x v="21"/>
    <x v="15"/>
    <x v="324"/>
    <x v="19"/>
    <x v="57"/>
    <x v="528"/>
    <x v="181"/>
    <x v="27"/>
    <x v="1"/>
    <x v="1"/>
  </r>
  <r>
    <x v="47"/>
    <x v="0"/>
    <x v="0"/>
    <x v="4"/>
    <x v="47"/>
    <x v="47"/>
    <x v="14"/>
    <x v="14"/>
    <x v="14"/>
    <x v="14"/>
    <x v="15"/>
    <x v="324"/>
    <x v="19"/>
    <x v="145"/>
    <x v="479"/>
    <x v="179"/>
    <x v="431"/>
    <x v="1"/>
    <x v="1"/>
  </r>
  <r>
    <x v="47"/>
    <x v="0"/>
    <x v="0"/>
    <x v="4"/>
    <x v="47"/>
    <x v="47"/>
    <x v="32"/>
    <x v="32"/>
    <x v="32"/>
    <x v="32"/>
    <x v="15"/>
    <x v="324"/>
    <x v="19"/>
    <x v="145"/>
    <x v="479"/>
    <x v="179"/>
    <x v="431"/>
    <x v="1"/>
    <x v="1"/>
  </r>
  <r>
    <x v="47"/>
    <x v="0"/>
    <x v="0"/>
    <x v="4"/>
    <x v="47"/>
    <x v="47"/>
    <x v="16"/>
    <x v="16"/>
    <x v="16"/>
    <x v="16"/>
    <x v="18"/>
    <x v="325"/>
    <x v="529"/>
    <x v="57"/>
    <x v="528"/>
    <x v="179"/>
    <x v="431"/>
    <x v="1"/>
    <x v="1"/>
  </r>
  <r>
    <x v="47"/>
    <x v="0"/>
    <x v="0"/>
    <x v="4"/>
    <x v="47"/>
    <x v="47"/>
    <x v="29"/>
    <x v="29"/>
    <x v="29"/>
    <x v="29"/>
    <x v="18"/>
    <x v="325"/>
    <x v="529"/>
    <x v="145"/>
    <x v="479"/>
    <x v="114"/>
    <x v="270"/>
    <x v="1"/>
    <x v="1"/>
  </r>
  <r>
    <x v="47"/>
    <x v="0"/>
    <x v="0"/>
    <x v="4"/>
    <x v="47"/>
    <x v="47"/>
    <x v="31"/>
    <x v="31"/>
    <x v="31"/>
    <x v="31"/>
    <x v="18"/>
    <x v="325"/>
    <x v="529"/>
    <x v="57"/>
    <x v="528"/>
    <x v="179"/>
    <x v="431"/>
    <x v="1"/>
    <x v="1"/>
  </r>
  <r>
    <x v="47"/>
    <x v="0"/>
    <x v="0"/>
    <x v="4"/>
    <x v="47"/>
    <x v="47"/>
    <x v="20"/>
    <x v="20"/>
    <x v="20"/>
    <x v="20"/>
    <x v="18"/>
    <x v="325"/>
    <x v="529"/>
    <x v="225"/>
    <x v="332"/>
    <x v="187"/>
    <x v="471"/>
    <x v="1"/>
    <x v="1"/>
  </r>
  <r>
    <x v="48"/>
    <x v="0"/>
    <x v="0"/>
    <x v="4"/>
    <x v="48"/>
    <x v="48"/>
    <x v="4"/>
    <x v="4"/>
    <x v="4"/>
    <x v="4"/>
    <x v="0"/>
    <x v="167"/>
    <x v="530"/>
    <x v="52"/>
    <x v="179"/>
    <x v="186"/>
    <x v="473"/>
    <x v="1"/>
    <x v="1"/>
  </r>
  <r>
    <x v="48"/>
    <x v="0"/>
    <x v="0"/>
    <x v="4"/>
    <x v="48"/>
    <x v="48"/>
    <x v="1"/>
    <x v="1"/>
    <x v="1"/>
    <x v="1"/>
    <x v="1"/>
    <x v="73"/>
    <x v="531"/>
    <x v="119"/>
    <x v="587"/>
    <x v="188"/>
    <x v="273"/>
    <x v="1"/>
    <x v="1"/>
  </r>
  <r>
    <x v="48"/>
    <x v="0"/>
    <x v="0"/>
    <x v="4"/>
    <x v="48"/>
    <x v="48"/>
    <x v="0"/>
    <x v="0"/>
    <x v="0"/>
    <x v="0"/>
    <x v="2"/>
    <x v="144"/>
    <x v="532"/>
    <x v="198"/>
    <x v="588"/>
    <x v="188"/>
    <x v="273"/>
    <x v="1"/>
    <x v="1"/>
  </r>
  <r>
    <x v="48"/>
    <x v="0"/>
    <x v="0"/>
    <x v="4"/>
    <x v="48"/>
    <x v="48"/>
    <x v="2"/>
    <x v="2"/>
    <x v="2"/>
    <x v="2"/>
    <x v="3"/>
    <x v="130"/>
    <x v="533"/>
    <x v="64"/>
    <x v="589"/>
    <x v="192"/>
    <x v="474"/>
    <x v="1"/>
    <x v="1"/>
  </r>
  <r>
    <x v="48"/>
    <x v="0"/>
    <x v="0"/>
    <x v="4"/>
    <x v="48"/>
    <x v="48"/>
    <x v="9"/>
    <x v="9"/>
    <x v="9"/>
    <x v="9"/>
    <x v="4"/>
    <x v="117"/>
    <x v="257"/>
    <x v="70"/>
    <x v="590"/>
    <x v="180"/>
    <x v="280"/>
    <x v="1"/>
    <x v="1"/>
  </r>
  <r>
    <x v="48"/>
    <x v="0"/>
    <x v="0"/>
    <x v="4"/>
    <x v="48"/>
    <x v="48"/>
    <x v="5"/>
    <x v="5"/>
    <x v="5"/>
    <x v="5"/>
    <x v="4"/>
    <x v="117"/>
    <x v="257"/>
    <x v="106"/>
    <x v="591"/>
    <x v="187"/>
    <x v="35"/>
    <x v="1"/>
    <x v="1"/>
  </r>
  <r>
    <x v="48"/>
    <x v="0"/>
    <x v="0"/>
    <x v="4"/>
    <x v="48"/>
    <x v="48"/>
    <x v="11"/>
    <x v="11"/>
    <x v="11"/>
    <x v="11"/>
    <x v="6"/>
    <x v="230"/>
    <x v="236"/>
    <x v="85"/>
    <x v="64"/>
    <x v="88"/>
    <x v="475"/>
    <x v="1"/>
    <x v="1"/>
  </r>
  <r>
    <x v="48"/>
    <x v="0"/>
    <x v="0"/>
    <x v="4"/>
    <x v="48"/>
    <x v="48"/>
    <x v="10"/>
    <x v="10"/>
    <x v="10"/>
    <x v="10"/>
    <x v="6"/>
    <x v="230"/>
    <x v="236"/>
    <x v="124"/>
    <x v="592"/>
    <x v="181"/>
    <x v="476"/>
    <x v="1"/>
    <x v="1"/>
  </r>
  <r>
    <x v="48"/>
    <x v="0"/>
    <x v="0"/>
    <x v="4"/>
    <x v="48"/>
    <x v="48"/>
    <x v="7"/>
    <x v="7"/>
    <x v="7"/>
    <x v="7"/>
    <x v="8"/>
    <x v="305"/>
    <x v="495"/>
    <x v="137"/>
    <x v="66"/>
    <x v="180"/>
    <x v="280"/>
    <x v="1"/>
    <x v="1"/>
  </r>
  <r>
    <x v="48"/>
    <x v="0"/>
    <x v="0"/>
    <x v="4"/>
    <x v="48"/>
    <x v="48"/>
    <x v="6"/>
    <x v="6"/>
    <x v="6"/>
    <x v="6"/>
    <x v="8"/>
    <x v="305"/>
    <x v="495"/>
    <x v="66"/>
    <x v="593"/>
    <x v="181"/>
    <x v="476"/>
    <x v="1"/>
    <x v="1"/>
  </r>
  <r>
    <x v="48"/>
    <x v="0"/>
    <x v="0"/>
    <x v="4"/>
    <x v="48"/>
    <x v="48"/>
    <x v="34"/>
    <x v="34"/>
    <x v="34"/>
    <x v="34"/>
    <x v="10"/>
    <x v="297"/>
    <x v="129"/>
    <x v="72"/>
    <x v="186"/>
    <x v="178"/>
    <x v="241"/>
    <x v="4"/>
    <x v="18"/>
  </r>
  <r>
    <x v="48"/>
    <x v="0"/>
    <x v="0"/>
    <x v="4"/>
    <x v="48"/>
    <x v="48"/>
    <x v="13"/>
    <x v="13"/>
    <x v="13"/>
    <x v="13"/>
    <x v="11"/>
    <x v="277"/>
    <x v="173"/>
    <x v="56"/>
    <x v="594"/>
    <x v="88"/>
    <x v="475"/>
    <x v="1"/>
    <x v="1"/>
  </r>
  <r>
    <x v="48"/>
    <x v="0"/>
    <x v="0"/>
    <x v="4"/>
    <x v="48"/>
    <x v="48"/>
    <x v="32"/>
    <x v="32"/>
    <x v="32"/>
    <x v="32"/>
    <x v="12"/>
    <x v="253"/>
    <x v="292"/>
    <x v="137"/>
    <x v="66"/>
    <x v="179"/>
    <x v="477"/>
    <x v="1"/>
    <x v="1"/>
  </r>
  <r>
    <x v="48"/>
    <x v="0"/>
    <x v="0"/>
    <x v="4"/>
    <x v="48"/>
    <x v="48"/>
    <x v="29"/>
    <x v="29"/>
    <x v="29"/>
    <x v="29"/>
    <x v="13"/>
    <x v="254"/>
    <x v="202"/>
    <x v="53"/>
    <x v="9"/>
    <x v="188"/>
    <x v="273"/>
    <x v="1"/>
    <x v="1"/>
  </r>
  <r>
    <x v="48"/>
    <x v="0"/>
    <x v="0"/>
    <x v="4"/>
    <x v="48"/>
    <x v="48"/>
    <x v="37"/>
    <x v="37"/>
    <x v="37"/>
    <x v="37"/>
    <x v="14"/>
    <x v="255"/>
    <x v="452"/>
    <x v="55"/>
    <x v="203"/>
    <x v="179"/>
    <x v="477"/>
    <x v="1"/>
    <x v="1"/>
  </r>
  <r>
    <x v="48"/>
    <x v="0"/>
    <x v="0"/>
    <x v="4"/>
    <x v="48"/>
    <x v="48"/>
    <x v="17"/>
    <x v="17"/>
    <x v="17"/>
    <x v="17"/>
    <x v="15"/>
    <x v="256"/>
    <x v="132"/>
    <x v="72"/>
    <x v="186"/>
    <x v="114"/>
    <x v="402"/>
    <x v="1"/>
    <x v="1"/>
  </r>
  <r>
    <x v="48"/>
    <x v="0"/>
    <x v="0"/>
    <x v="4"/>
    <x v="48"/>
    <x v="48"/>
    <x v="36"/>
    <x v="36"/>
    <x v="36"/>
    <x v="36"/>
    <x v="16"/>
    <x v="257"/>
    <x v="215"/>
    <x v="135"/>
    <x v="227"/>
    <x v="181"/>
    <x v="476"/>
    <x v="1"/>
    <x v="1"/>
  </r>
  <r>
    <x v="48"/>
    <x v="0"/>
    <x v="0"/>
    <x v="4"/>
    <x v="48"/>
    <x v="48"/>
    <x v="3"/>
    <x v="3"/>
    <x v="3"/>
    <x v="3"/>
    <x v="16"/>
    <x v="257"/>
    <x v="215"/>
    <x v="135"/>
    <x v="227"/>
    <x v="181"/>
    <x v="476"/>
    <x v="1"/>
    <x v="1"/>
  </r>
  <r>
    <x v="48"/>
    <x v="0"/>
    <x v="0"/>
    <x v="4"/>
    <x v="48"/>
    <x v="48"/>
    <x v="8"/>
    <x v="8"/>
    <x v="8"/>
    <x v="8"/>
    <x v="16"/>
    <x v="257"/>
    <x v="215"/>
    <x v="72"/>
    <x v="186"/>
    <x v="188"/>
    <x v="273"/>
    <x v="1"/>
    <x v="1"/>
  </r>
  <r>
    <x v="48"/>
    <x v="0"/>
    <x v="0"/>
    <x v="4"/>
    <x v="48"/>
    <x v="48"/>
    <x v="12"/>
    <x v="12"/>
    <x v="12"/>
    <x v="12"/>
    <x v="19"/>
    <x v="322"/>
    <x v="520"/>
    <x v="56"/>
    <x v="594"/>
    <x v="188"/>
    <x v="273"/>
    <x v="1"/>
    <x v="1"/>
  </r>
  <r>
    <x v="48"/>
    <x v="0"/>
    <x v="0"/>
    <x v="4"/>
    <x v="48"/>
    <x v="48"/>
    <x v="20"/>
    <x v="20"/>
    <x v="20"/>
    <x v="20"/>
    <x v="19"/>
    <x v="322"/>
    <x v="520"/>
    <x v="225"/>
    <x v="332"/>
    <x v="88"/>
    <x v="475"/>
    <x v="1"/>
    <x v="1"/>
  </r>
  <r>
    <x v="49"/>
    <x v="0"/>
    <x v="0"/>
    <x v="4"/>
    <x v="49"/>
    <x v="49"/>
    <x v="33"/>
    <x v="33"/>
    <x v="33"/>
    <x v="33"/>
    <x v="0"/>
    <x v="139"/>
    <x v="534"/>
    <x v="253"/>
    <x v="595"/>
    <x v="187"/>
    <x v="323"/>
    <x v="1"/>
    <x v="1"/>
  </r>
  <r>
    <x v="49"/>
    <x v="0"/>
    <x v="0"/>
    <x v="4"/>
    <x v="49"/>
    <x v="49"/>
    <x v="2"/>
    <x v="2"/>
    <x v="2"/>
    <x v="2"/>
    <x v="1"/>
    <x v="72"/>
    <x v="535"/>
    <x v="202"/>
    <x v="596"/>
    <x v="192"/>
    <x v="478"/>
    <x v="1"/>
    <x v="1"/>
  </r>
  <r>
    <x v="49"/>
    <x v="0"/>
    <x v="0"/>
    <x v="4"/>
    <x v="49"/>
    <x v="49"/>
    <x v="5"/>
    <x v="5"/>
    <x v="5"/>
    <x v="5"/>
    <x v="2"/>
    <x v="291"/>
    <x v="536"/>
    <x v="38"/>
    <x v="231"/>
    <x v="80"/>
    <x v="122"/>
    <x v="1"/>
    <x v="1"/>
  </r>
  <r>
    <x v="49"/>
    <x v="0"/>
    <x v="0"/>
    <x v="4"/>
    <x v="49"/>
    <x v="49"/>
    <x v="1"/>
    <x v="1"/>
    <x v="1"/>
    <x v="1"/>
    <x v="3"/>
    <x v="54"/>
    <x v="537"/>
    <x v="136"/>
    <x v="597"/>
    <x v="179"/>
    <x v="211"/>
    <x v="1"/>
    <x v="1"/>
  </r>
  <r>
    <x v="49"/>
    <x v="0"/>
    <x v="0"/>
    <x v="4"/>
    <x v="49"/>
    <x v="49"/>
    <x v="4"/>
    <x v="4"/>
    <x v="4"/>
    <x v="4"/>
    <x v="4"/>
    <x v="55"/>
    <x v="538"/>
    <x v="198"/>
    <x v="598"/>
    <x v="80"/>
    <x v="122"/>
    <x v="1"/>
    <x v="1"/>
  </r>
  <r>
    <x v="49"/>
    <x v="0"/>
    <x v="0"/>
    <x v="4"/>
    <x v="49"/>
    <x v="49"/>
    <x v="34"/>
    <x v="34"/>
    <x v="34"/>
    <x v="34"/>
    <x v="5"/>
    <x v="296"/>
    <x v="539"/>
    <x v="82"/>
    <x v="573"/>
    <x v="183"/>
    <x v="479"/>
    <x v="4"/>
    <x v="22"/>
  </r>
  <r>
    <x v="49"/>
    <x v="0"/>
    <x v="0"/>
    <x v="4"/>
    <x v="49"/>
    <x v="49"/>
    <x v="0"/>
    <x v="0"/>
    <x v="0"/>
    <x v="0"/>
    <x v="6"/>
    <x v="74"/>
    <x v="540"/>
    <x v="173"/>
    <x v="599"/>
    <x v="114"/>
    <x v="82"/>
    <x v="1"/>
    <x v="1"/>
  </r>
  <r>
    <x v="49"/>
    <x v="0"/>
    <x v="0"/>
    <x v="4"/>
    <x v="49"/>
    <x v="49"/>
    <x v="9"/>
    <x v="9"/>
    <x v="9"/>
    <x v="9"/>
    <x v="7"/>
    <x v="117"/>
    <x v="541"/>
    <x v="106"/>
    <x v="600"/>
    <x v="187"/>
    <x v="323"/>
    <x v="1"/>
    <x v="1"/>
  </r>
  <r>
    <x v="49"/>
    <x v="0"/>
    <x v="0"/>
    <x v="4"/>
    <x v="49"/>
    <x v="49"/>
    <x v="6"/>
    <x v="6"/>
    <x v="6"/>
    <x v="6"/>
    <x v="8"/>
    <x v="119"/>
    <x v="402"/>
    <x v="54"/>
    <x v="533"/>
    <x v="114"/>
    <x v="82"/>
    <x v="4"/>
    <x v="22"/>
  </r>
  <r>
    <x v="49"/>
    <x v="0"/>
    <x v="0"/>
    <x v="4"/>
    <x v="49"/>
    <x v="49"/>
    <x v="10"/>
    <x v="10"/>
    <x v="10"/>
    <x v="10"/>
    <x v="9"/>
    <x v="230"/>
    <x v="186"/>
    <x v="125"/>
    <x v="601"/>
    <x v="187"/>
    <x v="323"/>
    <x v="1"/>
    <x v="1"/>
  </r>
  <r>
    <x v="49"/>
    <x v="0"/>
    <x v="0"/>
    <x v="4"/>
    <x v="49"/>
    <x v="49"/>
    <x v="11"/>
    <x v="11"/>
    <x v="11"/>
    <x v="11"/>
    <x v="10"/>
    <x v="240"/>
    <x v="542"/>
    <x v="50"/>
    <x v="602"/>
    <x v="114"/>
    <x v="82"/>
    <x v="1"/>
    <x v="1"/>
  </r>
  <r>
    <x v="49"/>
    <x v="0"/>
    <x v="0"/>
    <x v="4"/>
    <x v="49"/>
    <x v="49"/>
    <x v="7"/>
    <x v="7"/>
    <x v="7"/>
    <x v="7"/>
    <x v="11"/>
    <x v="241"/>
    <x v="200"/>
    <x v="146"/>
    <x v="285"/>
    <x v="179"/>
    <x v="211"/>
    <x v="1"/>
    <x v="1"/>
  </r>
  <r>
    <x v="49"/>
    <x v="0"/>
    <x v="0"/>
    <x v="4"/>
    <x v="49"/>
    <x v="49"/>
    <x v="8"/>
    <x v="8"/>
    <x v="8"/>
    <x v="8"/>
    <x v="12"/>
    <x v="277"/>
    <x v="543"/>
    <x v="84"/>
    <x v="339"/>
    <x v="188"/>
    <x v="273"/>
    <x v="1"/>
    <x v="1"/>
  </r>
  <r>
    <x v="49"/>
    <x v="0"/>
    <x v="0"/>
    <x v="4"/>
    <x v="49"/>
    <x v="49"/>
    <x v="13"/>
    <x v="13"/>
    <x v="13"/>
    <x v="13"/>
    <x v="13"/>
    <x v="254"/>
    <x v="132"/>
    <x v="53"/>
    <x v="397"/>
    <x v="188"/>
    <x v="273"/>
    <x v="1"/>
    <x v="1"/>
  </r>
  <r>
    <x v="49"/>
    <x v="0"/>
    <x v="0"/>
    <x v="4"/>
    <x v="49"/>
    <x v="49"/>
    <x v="21"/>
    <x v="21"/>
    <x v="21"/>
    <x v="21"/>
    <x v="14"/>
    <x v="321"/>
    <x v="327"/>
    <x v="56"/>
    <x v="49"/>
    <x v="181"/>
    <x v="135"/>
    <x v="1"/>
    <x v="1"/>
  </r>
  <r>
    <x v="49"/>
    <x v="0"/>
    <x v="0"/>
    <x v="4"/>
    <x v="49"/>
    <x v="49"/>
    <x v="12"/>
    <x v="12"/>
    <x v="12"/>
    <x v="12"/>
    <x v="15"/>
    <x v="256"/>
    <x v="67"/>
    <x v="72"/>
    <x v="28"/>
    <x v="114"/>
    <x v="82"/>
    <x v="1"/>
    <x v="1"/>
  </r>
  <r>
    <x v="49"/>
    <x v="0"/>
    <x v="0"/>
    <x v="4"/>
    <x v="49"/>
    <x v="49"/>
    <x v="15"/>
    <x v="15"/>
    <x v="15"/>
    <x v="15"/>
    <x v="16"/>
    <x v="322"/>
    <x v="544"/>
    <x v="57"/>
    <x v="603"/>
    <x v="180"/>
    <x v="416"/>
    <x v="1"/>
    <x v="1"/>
  </r>
  <r>
    <x v="49"/>
    <x v="0"/>
    <x v="0"/>
    <x v="4"/>
    <x v="49"/>
    <x v="49"/>
    <x v="32"/>
    <x v="32"/>
    <x v="32"/>
    <x v="32"/>
    <x v="16"/>
    <x v="322"/>
    <x v="544"/>
    <x v="74"/>
    <x v="385"/>
    <x v="114"/>
    <x v="82"/>
    <x v="1"/>
    <x v="1"/>
  </r>
  <r>
    <x v="49"/>
    <x v="0"/>
    <x v="0"/>
    <x v="4"/>
    <x v="49"/>
    <x v="49"/>
    <x v="16"/>
    <x v="16"/>
    <x v="16"/>
    <x v="16"/>
    <x v="18"/>
    <x v="323"/>
    <x v="545"/>
    <x v="58"/>
    <x v="17"/>
    <x v="179"/>
    <x v="211"/>
    <x v="1"/>
    <x v="1"/>
  </r>
  <r>
    <x v="49"/>
    <x v="0"/>
    <x v="0"/>
    <x v="4"/>
    <x v="49"/>
    <x v="49"/>
    <x v="41"/>
    <x v="41"/>
    <x v="41"/>
    <x v="41"/>
    <x v="18"/>
    <x v="323"/>
    <x v="545"/>
    <x v="145"/>
    <x v="53"/>
    <x v="181"/>
    <x v="135"/>
    <x v="1"/>
    <x v="1"/>
  </r>
  <r>
    <x v="49"/>
    <x v="0"/>
    <x v="0"/>
    <x v="4"/>
    <x v="49"/>
    <x v="49"/>
    <x v="19"/>
    <x v="19"/>
    <x v="19"/>
    <x v="19"/>
    <x v="18"/>
    <x v="323"/>
    <x v="545"/>
    <x v="58"/>
    <x v="17"/>
    <x v="179"/>
    <x v="211"/>
    <x v="1"/>
    <x v="1"/>
  </r>
  <r>
    <x v="49"/>
    <x v="0"/>
    <x v="0"/>
    <x v="4"/>
    <x v="49"/>
    <x v="49"/>
    <x v="3"/>
    <x v="3"/>
    <x v="3"/>
    <x v="3"/>
    <x v="18"/>
    <x v="323"/>
    <x v="545"/>
    <x v="58"/>
    <x v="17"/>
    <x v="179"/>
    <x v="211"/>
    <x v="1"/>
    <x v="1"/>
  </r>
  <r>
    <x v="49"/>
    <x v="0"/>
    <x v="0"/>
    <x v="4"/>
    <x v="49"/>
    <x v="49"/>
    <x v="31"/>
    <x v="31"/>
    <x v="31"/>
    <x v="31"/>
    <x v="18"/>
    <x v="323"/>
    <x v="545"/>
    <x v="74"/>
    <x v="385"/>
    <x v="188"/>
    <x v="273"/>
    <x v="1"/>
    <x v="1"/>
  </r>
  <r>
    <x v="50"/>
    <x v="0"/>
    <x v="0"/>
    <x v="4"/>
    <x v="50"/>
    <x v="50"/>
    <x v="0"/>
    <x v="0"/>
    <x v="0"/>
    <x v="0"/>
    <x v="0"/>
    <x v="275"/>
    <x v="328"/>
    <x v="69"/>
    <x v="604"/>
    <x v="181"/>
    <x v="10"/>
    <x v="1"/>
    <x v="1"/>
  </r>
  <r>
    <x v="50"/>
    <x v="0"/>
    <x v="0"/>
    <x v="4"/>
    <x v="50"/>
    <x v="50"/>
    <x v="4"/>
    <x v="4"/>
    <x v="4"/>
    <x v="4"/>
    <x v="1"/>
    <x v="58"/>
    <x v="546"/>
    <x v="50"/>
    <x v="605"/>
    <x v="83"/>
    <x v="480"/>
    <x v="1"/>
    <x v="1"/>
  </r>
  <r>
    <x v="50"/>
    <x v="0"/>
    <x v="0"/>
    <x v="4"/>
    <x v="50"/>
    <x v="50"/>
    <x v="1"/>
    <x v="1"/>
    <x v="1"/>
    <x v="1"/>
    <x v="2"/>
    <x v="250"/>
    <x v="547"/>
    <x v="183"/>
    <x v="606"/>
    <x v="179"/>
    <x v="481"/>
    <x v="1"/>
    <x v="1"/>
  </r>
  <r>
    <x v="50"/>
    <x v="0"/>
    <x v="0"/>
    <x v="4"/>
    <x v="50"/>
    <x v="50"/>
    <x v="2"/>
    <x v="2"/>
    <x v="2"/>
    <x v="2"/>
    <x v="3"/>
    <x v="227"/>
    <x v="548"/>
    <x v="107"/>
    <x v="607"/>
    <x v="184"/>
    <x v="482"/>
    <x v="1"/>
    <x v="1"/>
  </r>
  <r>
    <x v="50"/>
    <x v="0"/>
    <x v="0"/>
    <x v="4"/>
    <x v="50"/>
    <x v="50"/>
    <x v="5"/>
    <x v="5"/>
    <x v="5"/>
    <x v="5"/>
    <x v="4"/>
    <x v="249"/>
    <x v="549"/>
    <x v="49"/>
    <x v="608"/>
    <x v="88"/>
    <x v="483"/>
    <x v="1"/>
    <x v="1"/>
  </r>
  <r>
    <x v="50"/>
    <x v="0"/>
    <x v="0"/>
    <x v="4"/>
    <x v="50"/>
    <x v="50"/>
    <x v="9"/>
    <x v="9"/>
    <x v="9"/>
    <x v="9"/>
    <x v="5"/>
    <x v="230"/>
    <x v="550"/>
    <x v="48"/>
    <x v="344"/>
    <x v="178"/>
    <x v="484"/>
    <x v="1"/>
    <x v="1"/>
  </r>
  <r>
    <x v="50"/>
    <x v="0"/>
    <x v="0"/>
    <x v="4"/>
    <x v="50"/>
    <x v="50"/>
    <x v="33"/>
    <x v="33"/>
    <x v="33"/>
    <x v="33"/>
    <x v="6"/>
    <x v="283"/>
    <x v="412"/>
    <x v="85"/>
    <x v="609"/>
    <x v="180"/>
    <x v="485"/>
    <x v="1"/>
    <x v="1"/>
  </r>
  <r>
    <x v="50"/>
    <x v="0"/>
    <x v="0"/>
    <x v="4"/>
    <x v="50"/>
    <x v="50"/>
    <x v="10"/>
    <x v="10"/>
    <x v="10"/>
    <x v="10"/>
    <x v="7"/>
    <x v="241"/>
    <x v="7"/>
    <x v="66"/>
    <x v="610"/>
    <x v="187"/>
    <x v="322"/>
    <x v="1"/>
    <x v="1"/>
  </r>
  <r>
    <x v="50"/>
    <x v="0"/>
    <x v="0"/>
    <x v="4"/>
    <x v="50"/>
    <x v="50"/>
    <x v="3"/>
    <x v="3"/>
    <x v="3"/>
    <x v="3"/>
    <x v="8"/>
    <x v="297"/>
    <x v="551"/>
    <x v="53"/>
    <x v="453"/>
    <x v="181"/>
    <x v="10"/>
    <x v="1"/>
    <x v="1"/>
  </r>
  <r>
    <x v="50"/>
    <x v="0"/>
    <x v="0"/>
    <x v="4"/>
    <x v="50"/>
    <x v="50"/>
    <x v="11"/>
    <x v="11"/>
    <x v="11"/>
    <x v="11"/>
    <x v="9"/>
    <x v="253"/>
    <x v="552"/>
    <x v="55"/>
    <x v="611"/>
    <x v="187"/>
    <x v="322"/>
    <x v="1"/>
    <x v="1"/>
  </r>
  <r>
    <x v="50"/>
    <x v="0"/>
    <x v="0"/>
    <x v="4"/>
    <x v="50"/>
    <x v="50"/>
    <x v="34"/>
    <x v="34"/>
    <x v="34"/>
    <x v="34"/>
    <x v="9"/>
    <x v="253"/>
    <x v="552"/>
    <x v="185"/>
    <x v="372"/>
    <x v="181"/>
    <x v="10"/>
    <x v="1"/>
    <x v="1"/>
  </r>
  <r>
    <x v="50"/>
    <x v="0"/>
    <x v="0"/>
    <x v="4"/>
    <x v="50"/>
    <x v="50"/>
    <x v="6"/>
    <x v="6"/>
    <x v="6"/>
    <x v="6"/>
    <x v="11"/>
    <x v="256"/>
    <x v="79"/>
    <x v="72"/>
    <x v="314"/>
    <x v="114"/>
    <x v="453"/>
    <x v="1"/>
    <x v="1"/>
  </r>
  <r>
    <x v="50"/>
    <x v="0"/>
    <x v="0"/>
    <x v="4"/>
    <x v="50"/>
    <x v="50"/>
    <x v="32"/>
    <x v="32"/>
    <x v="32"/>
    <x v="32"/>
    <x v="11"/>
    <x v="256"/>
    <x v="79"/>
    <x v="72"/>
    <x v="314"/>
    <x v="114"/>
    <x v="453"/>
    <x v="1"/>
    <x v="1"/>
  </r>
  <r>
    <x v="50"/>
    <x v="0"/>
    <x v="0"/>
    <x v="4"/>
    <x v="50"/>
    <x v="50"/>
    <x v="21"/>
    <x v="21"/>
    <x v="21"/>
    <x v="21"/>
    <x v="13"/>
    <x v="257"/>
    <x v="405"/>
    <x v="71"/>
    <x v="612"/>
    <x v="88"/>
    <x v="483"/>
    <x v="1"/>
    <x v="1"/>
  </r>
  <r>
    <x v="50"/>
    <x v="0"/>
    <x v="0"/>
    <x v="4"/>
    <x v="50"/>
    <x v="50"/>
    <x v="7"/>
    <x v="7"/>
    <x v="7"/>
    <x v="7"/>
    <x v="13"/>
    <x v="257"/>
    <x v="405"/>
    <x v="56"/>
    <x v="104"/>
    <x v="114"/>
    <x v="453"/>
    <x v="1"/>
    <x v="1"/>
  </r>
  <r>
    <x v="50"/>
    <x v="0"/>
    <x v="0"/>
    <x v="4"/>
    <x v="50"/>
    <x v="50"/>
    <x v="12"/>
    <x v="12"/>
    <x v="12"/>
    <x v="12"/>
    <x v="13"/>
    <x v="257"/>
    <x v="405"/>
    <x v="72"/>
    <x v="314"/>
    <x v="188"/>
    <x v="273"/>
    <x v="1"/>
    <x v="1"/>
  </r>
  <r>
    <x v="50"/>
    <x v="0"/>
    <x v="0"/>
    <x v="4"/>
    <x v="50"/>
    <x v="50"/>
    <x v="8"/>
    <x v="8"/>
    <x v="8"/>
    <x v="8"/>
    <x v="13"/>
    <x v="257"/>
    <x v="405"/>
    <x v="56"/>
    <x v="104"/>
    <x v="114"/>
    <x v="453"/>
    <x v="1"/>
    <x v="1"/>
  </r>
  <r>
    <x v="50"/>
    <x v="0"/>
    <x v="0"/>
    <x v="4"/>
    <x v="50"/>
    <x v="50"/>
    <x v="29"/>
    <x v="29"/>
    <x v="29"/>
    <x v="29"/>
    <x v="17"/>
    <x v="322"/>
    <x v="132"/>
    <x v="74"/>
    <x v="188"/>
    <x v="114"/>
    <x v="453"/>
    <x v="1"/>
    <x v="1"/>
  </r>
  <r>
    <x v="50"/>
    <x v="0"/>
    <x v="0"/>
    <x v="4"/>
    <x v="50"/>
    <x v="50"/>
    <x v="13"/>
    <x v="13"/>
    <x v="13"/>
    <x v="13"/>
    <x v="17"/>
    <x v="322"/>
    <x v="132"/>
    <x v="135"/>
    <x v="13"/>
    <x v="179"/>
    <x v="481"/>
    <x v="1"/>
    <x v="1"/>
  </r>
  <r>
    <x v="50"/>
    <x v="0"/>
    <x v="0"/>
    <x v="4"/>
    <x v="50"/>
    <x v="50"/>
    <x v="22"/>
    <x v="22"/>
    <x v="22"/>
    <x v="22"/>
    <x v="19"/>
    <x v="325"/>
    <x v="553"/>
    <x v="58"/>
    <x v="16"/>
    <x v="188"/>
    <x v="273"/>
    <x v="1"/>
    <x v="1"/>
  </r>
  <r>
    <x v="50"/>
    <x v="0"/>
    <x v="0"/>
    <x v="4"/>
    <x v="50"/>
    <x v="50"/>
    <x v="40"/>
    <x v="40"/>
    <x v="40"/>
    <x v="40"/>
    <x v="19"/>
    <x v="325"/>
    <x v="553"/>
    <x v="57"/>
    <x v="185"/>
    <x v="179"/>
    <x v="481"/>
    <x v="1"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053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1"/>
    <x v="1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2"/>
    <x v="2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0"/>
    <x v="0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3"/>
    <x v="3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4"/>
    <x v="4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0"/>
    <x v="0"/>
  </r>
  <r>
    <x v="0"/>
    <x v="0"/>
    <x v="0"/>
    <x v="0"/>
    <x v="0"/>
    <x v="0"/>
    <x v="7"/>
    <x v="7"/>
    <x v="7"/>
    <x v="7"/>
    <x v="7"/>
    <x v="7"/>
    <x v="6"/>
    <x v="7"/>
    <x v="7"/>
    <x v="7"/>
    <x v="7"/>
    <x v="0"/>
    <x v="0"/>
  </r>
  <r>
    <x v="0"/>
    <x v="0"/>
    <x v="0"/>
    <x v="0"/>
    <x v="0"/>
    <x v="0"/>
    <x v="8"/>
    <x v="8"/>
    <x v="8"/>
    <x v="8"/>
    <x v="8"/>
    <x v="8"/>
    <x v="7"/>
    <x v="8"/>
    <x v="8"/>
    <x v="8"/>
    <x v="8"/>
    <x v="0"/>
    <x v="0"/>
  </r>
  <r>
    <x v="0"/>
    <x v="0"/>
    <x v="0"/>
    <x v="0"/>
    <x v="0"/>
    <x v="0"/>
    <x v="9"/>
    <x v="9"/>
    <x v="9"/>
    <x v="9"/>
    <x v="9"/>
    <x v="9"/>
    <x v="8"/>
    <x v="9"/>
    <x v="5"/>
    <x v="9"/>
    <x v="9"/>
    <x v="5"/>
    <x v="5"/>
  </r>
  <r>
    <x v="0"/>
    <x v="0"/>
    <x v="0"/>
    <x v="0"/>
    <x v="0"/>
    <x v="0"/>
    <x v="10"/>
    <x v="10"/>
    <x v="10"/>
    <x v="10"/>
    <x v="10"/>
    <x v="10"/>
    <x v="9"/>
    <x v="10"/>
    <x v="9"/>
    <x v="10"/>
    <x v="10"/>
    <x v="0"/>
    <x v="0"/>
  </r>
  <r>
    <x v="0"/>
    <x v="0"/>
    <x v="0"/>
    <x v="0"/>
    <x v="0"/>
    <x v="0"/>
    <x v="11"/>
    <x v="11"/>
    <x v="11"/>
    <x v="11"/>
    <x v="11"/>
    <x v="11"/>
    <x v="10"/>
    <x v="11"/>
    <x v="10"/>
    <x v="11"/>
    <x v="11"/>
    <x v="0"/>
    <x v="0"/>
  </r>
  <r>
    <x v="0"/>
    <x v="0"/>
    <x v="0"/>
    <x v="0"/>
    <x v="0"/>
    <x v="0"/>
    <x v="12"/>
    <x v="12"/>
    <x v="12"/>
    <x v="12"/>
    <x v="12"/>
    <x v="12"/>
    <x v="11"/>
    <x v="12"/>
    <x v="11"/>
    <x v="12"/>
    <x v="12"/>
    <x v="6"/>
    <x v="6"/>
  </r>
  <r>
    <x v="0"/>
    <x v="0"/>
    <x v="0"/>
    <x v="0"/>
    <x v="0"/>
    <x v="0"/>
    <x v="13"/>
    <x v="13"/>
    <x v="13"/>
    <x v="13"/>
    <x v="13"/>
    <x v="13"/>
    <x v="12"/>
    <x v="13"/>
    <x v="12"/>
    <x v="13"/>
    <x v="13"/>
    <x v="0"/>
    <x v="0"/>
  </r>
  <r>
    <x v="0"/>
    <x v="0"/>
    <x v="0"/>
    <x v="0"/>
    <x v="0"/>
    <x v="0"/>
    <x v="14"/>
    <x v="14"/>
    <x v="14"/>
    <x v="14"/>
    <x v="14"/>
    <x v="14"/>
    <x v="13"/>
    <x v="14"/>
    <x v="13"/>
    <x v="14"/>
    <x v="14"/>
    <x v="0"/>
    <x v="0"/>
  </r>
  <r>
    <x v="0"/>
    <x v="0"/>
    <x v="0"/>
    <x v="0"/>
    <x v="0"/>
    <x v="0"/>
    <x v="15"/>
    <x v="15"/>
    <x v="15"/>
    <x v="15"/>
    <x v="15"/>
    <x v="15"/>
    <x v="14"/>
    <x v="15"/>
    <x v="14"/>
    <x v="15"/>
    <x v="15"/>
    <x v="0"/>
    <x v="0"/>
  </r>
  <r>
    <x v="0"/>
    <x v="0"/>
    <x v="0"/>
    <x v="0"/>
    <x v="0"/>
    <x v="0"/>
    <x v="16"/>
    <x v="16"/>
    <x v="16"/>
    <x v="16"/>
    <x v="16"/>
    <x v="16"/>
    <x v="15"/>
    <x v="16"/>
    <x v="15"/>
    <x v="16"/>
    <x v="16"/>
    <x v="3"/>
    <x v="3"/>
  </r>
  <r>
    <x v="0"/>
    <x v="0"/>
    <x v="0"/>
    <x v="0"/>
    <x v="0"/>
    <x v="0"/>
    <x v="17"/>
    <x v="17"/>
    <x v="17"/>
    <x v="17"/>
    <x v="17"/>
    <x v="17"/>
    <x v="16"/>
    <x v="17"/>
    <x v="16"/>
    <x v="17"/>
    <x v="17"/>
    <x v="0"/>
    <x v="0"/>
  </r>
  <r>
    <x v="0"/>
    <x v="0"/>
    <x v="0"/>
    <x v="0"/>
    <x v="0"/>
    <x v="0"/>
    <x v="18"/>
    <x v="18"/>
    <x v="18"/>
    <x v="18"/>
    <x v="18"/>
    <x v="18"/>
    <x v="16"/>
    <x v="18"/>
    <x v="17"/>
    <x v="18"/>
    <x v="18"/>
    <x v="1"/>
    <x v="1"/>
  </r>
  <r>
    <x v="0"/>
    <x v="0"/>
    <x v="0"/>
    <x v="0"/>
    <x v="0"/>
    <x v="0"/>
    <x v="19"/>
    <x v="19"/>
    <x v="19"/>
    <x v="19"/>
    <x v="19"/>
    <x v="19"/>
    <x v="17"/>
    <x v="19"/>
    <x v="18"/>
    <x v="19"/>
    <x v="19"/>
    <x v="0"/>
    <x v="0"/>
  </r>
  <r>
    <x v="1"/>
    <x v="0"/>
    <x v="0"/>
    <x v="1"/>
    <x v="1"/>
    <x v="1"/>
    <x v="3"/>
    <x v="3"/>
    <x v="3"/>
    <x v="3"/>
    <x v="0"/>
    <x v="15"/>
    <x v="18"/>
    <x v="20"/>
    <x v="19"/>
    <x v="20"/>
    <x v="20"/>
    <x v="0"/>
    <x v="0"/>
  </r>
  <r>
    <x v="1"/>
    <x v="0"/>
    <x v="0"/>
    <x v="1"/>
    <x v="1"/>
    <x v="1"/>
    <x v="0"/>
    <x v="0"/>
    <x v="0"/>
    <x v="0"/>
    <x v="1"/>
    <x v="20"/>
    <x v="19"/>
    <x v="21"/>
    <x v="20"/>
    <x v="21"/>
    <x v="21"/>
    <x v="0"/>
    <x v="0"/>
  </r>
  <r>
    <x v="1"/>
    <x v="0"/>
    <x v="0"/>
    <x v="1"/>
    <x v="1"/>
    <x v="1"/>
    <x v="1"/>
    <x v="1"/>
    <x v="1"/>
    <x v="1"/>
    <x v="2"/>
    <x v="21"/>
    <x v="20"/>
    <x v="22"/>
    <x v="21"/>
    <x v="22"/>
    <x v="22"/>
    <x v="0"/>
    <x v="0"/>
  </r>
  <r>
    <x v="1"/>
    <x v="0"/>
    <x v="0"/>
    <x v="1"/>
    <x v="1"/>
    <x v="1"/>
    <x v="2"/>
    <x v="2"/>
    <x v="2"/>
    <x v="2"/>
    <x v="3"/>
    <x v="22"/>
    <x v="21"/>
    <x v="23"/>
    <x v="22"/>
    <x v="23"/>
    <x v="23"/>
    <x v="0"/>
    <x v="0"/>
  </r>
  <r>
    <x v="1"/>
    <x v="0"/>
    <x v="0"/>
    <x v="1"/>
    <x v="1"/>
    <x v="1"/>
    <x v="7"/>
    <x v="7"/>
    <x v="7"/>
    <x v="7"/>
    <x v="4"/>
    <x v="23"/>
    <x v="22"/>
    <x v="24"/>
    <x v="23"/>
    <x v="24"/>
    <x v="24"/>
    <x v="0"/>
    <x v="0"/>
  </r>
  <r>
    <x v="1"/>
    <x v="0"/>
    <x v="0"/>
    <x v="1"/>
    <x v="1"/>
    <x v="1"/>
    <x v="8"/>
    <x v="8"/>
    <x v="8"/>
    <x v="8"/>
    <x v="5"/>
    <x v="24"/>
    <x v="23"/>
    <x v="25"/>
    <x v="24"/>
    <x v="25"/>
    <x v="9"/>
    <x v="0"/>
    <x v="0"/>
  </r>
  <r>
    <x v="1"/>
    <x v="0"/>
    <x v="0"/>
    <x v="1"/>
    <x v="1"/>
    <x v="1"/>
    <x v="4"/>
    <x v="4"/>
    <x v="4"/>
    <x v="4"/>
    <x v="6"/>
    <x v="25"/>
    <x v="24"/>
    <x v="26"/>
    <x v="25"/>
    <x v="26"/>
    <x v="25"/>
    <x v="5"/>
    <x v="7"/>
  </r>
  <r>
    <x v="1"/>
    <x v="0"/>
    <x v="0"/>
    <x v="1"/>
    <x v="1"/>
    <x v="1"/>
    <x v="5"/>
    <x v="5"/>
    <x v="5"/>
    <x v="5"/>
    <x v="7"/>
    <x v="26"/>
    <x v="25"/>
    <x v="27"/>
    <x v="26"/>
    <x v="27"/>
    <x v="26"/>
    <x v="7"/>
    <x v="8"/>
  </r>
  <r>
    <x v="1"/>
    <x v="0"/>
    <x v="0"/>
    <x v="1"/>
    <x v="1"/>
    <x v="1"/>
    <x v="9"/>
    <x v="9"/>
    <x v="9"/>
    <x v="9"/>
    <x v="8"/>
    <x v="27"/>
    <x v="26"/>
    <x v="28"/>
    <x v="27"/>
    <x v="28"/>
    <x v="27"/>
    <x v="0"/>
    <x v="0"/>
  </r>
  <r>
    <x v="1"/>
    <x v="0"/>
    <x v="0"/>
    <x v="1"/>
    <x v="1"/>
    <x v="1"/>
    <x v="11"/>
    <x v="11"/>
    <x v="11"/>
    <x v="11"/>
    <x v="9"/>
    <x v="28"/>
    <x v="27"/>
    <x v="29"/>
    <x v="28"/>
    <x v="29"/>
    <x v="28"/>
    <x v="0"/>
    <x v="0"/>
  </r>
  <r>
    <x v="1"/>
    <x v="0"/>
    <x v="0"/>
    <x v="1"/>
    <x v="1"/>
    <x v="1"/>
    <x v="6"/>
    <x v="6"/>
    <x v="6"/>
    <x v="6"/>
    <x v="10"/>
    <x v="29"/>
    <x v="28"/>
    <x v="30"/>
    <x v="29"/>
    <x v="3"/>
    <x v="29"/>
    <x v="0"/>
    <x v="0"/>
  </r>
  <r>
    <x v="1"/>
    <x v="0"/>
    <x v="0"/>
    <x v="1"/>
    <x v="1"/>
    <x v="1"/>
    <x v="12"/>
    <x v="12"/>
    <x v="12"/>
    <x v="12"/>
    <x v="11"/>
    <x v="30"/>
    <x v="29"/>
    <x v="31"/>
    <x v="30"/>
    <x v="30"/>
    <x v="30"/>
    <x v="0"/>
    <x v="0"/>
  </r>
  <r>
    <x v="1"/>
    <x v="0"/>
    <x v="0"/>
    <x v="1"/>
    <x v="1"/>
    <x v="1"/>
    <x v="15"/>
    <x v="15"/>
    <x v="15"/>
    <x v="15"/>
    <x v="12"/>
    <x v="31"/>
    <x v="30"/>
    <x v="32"/>
    <x v="31"/>
    <x v="31"/>
    <x v="31"/>
    <x v="0"/>
    <x v="0"/>
  </r>
  <r>
    <x v="1"/>
    <x v="0"/>
    <x v="0"/>
    <x v="1"/>
    <x v="1"/>
    <x v="1"/>
    <x v="14"/>
    <x v="14"/>
    <x v="14"/>
    <x v="14"/>
    <x v="13"/>
    <x v="32"/>
    <x v="31"/>
    <x v="33"/>
    <x v="10"/>
    <x v="32"/>
    <x v="32"/>
    <x v="0"/>
    <x v="0"/>
  </r>
  <r>
    <x v="1"/>
    <x v="0"/>
    <x v="0"/>
    <x v="1"/>
    <x v="1"/>
    <x v="1"/>
    <x v="20"/>
    <x v="20"/>
    <x v="20"/>
    <x v="20"/>
    <x v="14"/>
    <x v="33"/>
    <x v="32"/>
    <x v="34"/>
    <x v="32"/>
    <x v="33"/>
    <x v="33"/>
    <x v="8"/>
    <x v="9"/>
  </r>
  <r>
    <x v="1"/>
    <x v="0"/>
    <x v="0"/>
    <x v="1"/>
    <x v="1"/>
    <x v="1"/>
    <x v="21"/>
    <x v="21"/>
    <x v="21"/>
    <x v="21"/>
    <x v="15"/>
    <x v="34"/>
    <x v="33"/>
    <x v="35"/>
    <x v="33"/>
    <x v="34"/>
    <x v="34"/>
    <x v="0"/>
    <x v="0"/>
  </r>
  <r>
    <x v="1"/>
    <x v="0"/>
    <x v="0"/>
    <x v="1"/>
    <x v="1"/>
    <x v="1"/>
    <x v="22"/>
    <x v="22"/>
    <x v="22"/>
    <x v="22"/>
    <x v="16"/>
    <x v="35"/>
    <x v="34"/>
    <x v="36"/>
    <x v="34"/>
    <x v="35"/>
    <x v="35"/>
    <x v="5"/>
    <x v="7"/>
  </r>
  <r>
    <x v="1"/>
    <x v="0"/>
    <x v="0"/>
    <x v="1"/>
    <x v="1"/>
    <x v="1"/>
    <x v="23"/>
    <x v="23"/>
    <x v="23"/>
    <x v="23"/>
    <x v="17"/>
    <x v="36"/>
    <x v="35"/>
    <x v="37"/>
    <x v="35"/>
    <x v="36"/>
    <x v="36"/>
    <x v="5"/>
    <x v="7"/>
  </r>
  <r>
    <x v="1"/>
    <x v="0"/>
    <x v="0"/>
    <x v="1"/>
    <x v="1"/>
    <x v="1"/>
    <x v="24"/>
    <x v="24"/>
    <x v="24"/>
    <x v="24"/>
    <x v="18"/>
    <x v="37"/>
    <x v="36"/>
    <x v="38"/>
    <x v="36"/>
    <x v="37"/>
    <x v="37"/>
    <x v="0"/>
    <x v="0"/>
  </r>
  <r>
    <x v="1"/>
    <x v="0"/>
    <x v="0"/>
    <x v="1"/>
    <x v="1"/>
    <x v="1"/>
    <x v="25"/>
    <x v="25"/>
    <x v="25"/>
    <x v="25"/>
    <x v="19"/>
    <x v="38"/>
    <x v="37"/>
    <x v="39"/>
    <x v="37"/>
    <x v="38"/>
    <x v="38"/>
    <x v="5"/>
    <x v="7"/>
  </r>
  <r>
    <x v="1"/>
    <x v="0"/>
    <x v="0"/>
    <x v="1"/>
    <x v="1"/>
    <x v="1"/>
    <x v="26"/>
    <x v="26"/>
    <x v="26"/>
    <x v="26"/>
    <x v="19"/>
    <x v="38"/>
    <x v="37"/>
    <x v="40"/>
    <x v="38"/>
    <x v="39"/>
    <x v="39"/>
    <x v="5"/>
    <x v="7"/>
  </r>
  <r>
    <x v="2"/>
    <x v="0"/>
    <x v="0"/>
    <x v="2"/>
    <x v="2"/>
    <x v="2"/>
    <x v="0"/>
    <x v="0"/>
    <x v="0"/>
    <x v="0"/>
    <x v="0"/>
    <x v="39"/>
    <x v="38"/>
    <x v="41"/>
    <x v="39"/>
    <x v="40"/>
    <x v="40"/>
    <x v="0"/>
    <x v="0"/>
  </r>
  <r>
    <x v="2"/>
    <x v="0"/>
    <x v="0"/>
    <x v="2"/>
    <x v="2"/>
    <x v="2"/>
    <x v="5"/>
    <x v="5"/>
    <x v="5"/>
    <x v="5"/>
    <x v="1"/>
    <x v="40"/>
    <x v="39"/>
    <x v="42"/>
    <x v="22"/>
    <x v="41"/>
    <x v="41"/>
    <x v="3"/>
    <x v="10"/>
  </r>
  <r>
    <x v="2"/>
    <x v="0"/>
    <x v="0"/>
    <x v="2"/>
    <x v="2"/>
    <x v="2"/>
    <x v="1"/>
    <x v="1"/>
    <x v="1"/>
    <x v="1"/>
    <x v="2"/>
    <x v="41"/>
    <x v="40"/>
    <x v="43"/>
    <x v="40"/>
    <x v="42"/>
    <x v="42"/>
    <x v="0"/>
    <x v="0"/>
  </r>
  <r>
    <x v="2"/>
    <x v="0"/>
    <x v="0"/>
    <x v="2"/>
    <x v="2"/>
    <x v="2"/>
    <x v="9"/>
    <x v="9"/>
    <x v="9"/>
    <x v="9"/>
    <x v="3"/>
    <x v="42"/>
    <x v="41"/>
    <x v="44"/>
    <x v="41"/>
    <x v="43"/>
    <x v="43"/>
    <x v="0"/>
    <x v="0"/>
  </r>
  <r>
    <x v="2"/>
    <x v="0"/>
    <x v="0"/>
    <x v="2"/>
    <x v="2"/>
    <x v="2"/>
    <x v="8"/>
    <x v="8"/>
    <x v="8"/>
    <x v="8"/>
    <x v="4"/>
    <x v="43"/>
    <x v="42"/>
    <x v="45"/>
    <x v="42"/>
    <x v="44"/>
    <x v="44"/>
    <x v="0"/>
    <x v="0"/>
  </r>
  <r>
    <x v="2"/>
    <x v="0"/>
    <x v="0"/>
    <x v="2"/>
    <x v="2"/>
    <x v="2"/>
    <x v="4"/>
    <x v="4"/>
    <x v="4"/>
    <x v="4"/>
    <x v="5"/>
    <x v="44"/>
    <x v="43"/>
    <x v="46"/>
    <x v="43"/>
    <x v="20"/>
    <x v="45"/>
    <x v="5"/>
    <x v="11"/>
  </r>
  <r>
    <x v="2"/>
    <x v="0"/>
    <x v="0"/>
    <x v="2"/>
    <x v="2"/>
    <x v="2"/>
    <x v="2"/>
    <x v="2"/>
    <x v="2"/>
    <x v="2"/>
    <x v="6"/>
    <x v="45"/>
    <x v="44"/>
    <x v="47"/>
    <x v="44"/>
    <x v="45"/>
    <x v="46"/>
    <x v="0"/>
    <x v="0"/>
  </r>
  <r>
    <x v="2"/>
    <x v="0"/>
    <x v="0"/>
    <x v="2"/>
    <x v="2"/>
    <x v="2"/>
    <x v="20"/>
    <x v="20"/>
    <x v="20"/>
    <x v="20"/>
    <x v="7"/>
    <x v="46"/>
    <x v="45"/>
    <x v="48"/>
    <x v="45"/>
    <x v="46"/>
    <x v="47"/>
    <x v="0"/>
    <x v="0"/>
  </r>
  <r>
    <x v="2"/>
    <x v="0"/>
    <x v="0"/>
    <x v="2"/>
    <x v="2"/>
    <x v="2"/>
    <x v="7"/>
    <x v="7"/>
    <x v="7"/>
    <x v="7"/>
    <x v="8"/>
    <x v="47"/>
    <x v="46"/>
    <x v="49"/>
    <x v="46"/>
    <x v="47"/>
    <x v="48"/>
    <x v="0"/>
    <x v="0"/>
  </r>
  <r>
    <x v="2"/>
    <x v="0"/>
    <x v="0"/>
    <x v="2"/>
    <x v="2"/>
    <x v="2"/>
    <x v="14"/>
    <x v="14"/>
    <x v="14"/>
    <x v="14"/>
    <x v="9"/>
    <x v="48"/>
    <x v="47"/>
    <x v="43"/>
    <x v="40"/>
    <x v="41"/>
    <x v="41"/>
    <x v="0"/>
    <x v="0"/>
  </r>
  <r>
    <x v="2"/>
    <x v="0"/>
    <x v="0"/>
    <x v="2"/>
    <x v="2"/>
    <x v="2"/>
    <x v="15"/>
    <x v="15"/>
    <x v="15"/>
    <x v="15"/>
    <x v="10"/>
    <x v="49"/>
    <x v="48"/>
    <x v="50"/>
    <x v="47"/>
    <x v="48"/>
    <x v="49"/>
    <x v="0"/>
    <x v="0"/>
  </r>
  <r>
    <x v="2"/>
    <x v="0"/>
    <x v="0"/>
    <x v="2"/>
    <x v="2"/>
    <x v="2"/>
    <x v="11"/>
    <x v="11"/>
    <x v="11"/>
    <x v="11"/>
    <x v="11"/>
    <x v="50"/>
    <x v="49"/>
    <x v="51"/>
    <x v="48"/>
    <x v="49"/>
    <x v="50"/>
    <x v="0"/>
    <x v="0"/>
  </r>
  <r>
    <x v="2"/>
    <x v="0"/>
    <x v="0"/>
    <x v="2"/>
    <x v="2"/>
    <x v="2"/>
    <x v="6"/>
    <x v="6"/>
    <x v="6"/>
    <x v="6"/>
    <x v="11"/>
    <x v="50"/>
    <x v="49"/>
    <x v="52"/>
    <x v="49"/>
    <x v="50"/>
    <x v="51"/>
    <x v="0"/>
    <x v="0"/>
  </r>
  <r>
    <x v="2"/>
    <x v="0"/>
    <x v="0"/>
    <x v="2"/>
    <x v="2"/>
    <x v="2"/>
    <x v="16"/>
    <x v="16"/>
    <x v="16"/>
    <x v="16"/>
    <x v="13"/>
    <x v="51"/>
    <x v="50"/>
    <x v="53"/>
    <x v="50"/>
    <x v="51"/>
    <x v="13"/>
    <x v="0"/>
    <x v="0"/>
  </r>
  <r>
    <x v="2"/>
    <x v="0"/>
    <x v="0"/>
    <x v="2"/>
    <x v="2"/>
    <x v="2"/>
    <x v="17"/>
    <x v="17"/>
    <x v="17"/>
    <x v="17"/>
    <x v="14"/>
    <x v="52"/>
    <x v="51"/>
    <x v="54"/>
    <x v="51"/>
    <x v="52"/>
    <x v="52"/>
    <x v="0"/>
    <x v="0"/>
  </r>
  <r>
    <x v="2"/>
    <x v="0"/>
    <x v="0"/>
    <x v="2"/>
    <x v="2"/>
    <x v="2"/>
    <x v="25"/>
    <x v="25"/>
    <x v="25"/>
    <x v="25"/>
    <x v="15"/>
    <x v="53"/>
    <x v="52"/>
    <x v="55"/>
    <x v="52"/>
    <x v="53"/>
    <x v="53"/>
    <x v="0"/>
    <x v="0"/>
  </r>
  <r>
    <x v="2"/>
    <x v="0"/>
    <x v="0"/>
    <x v="2"/>
    <x v="2"/>
    <x v="2"/>
    <x v="22"/>
    <x v="22"/>
    <x v="22"/>
    <x v="22"/>
    <x v="16"/>
    <x v="54"/>
    <x v="53"/>
    <x v="56"/>
    <x v="53"/>
    <x v="54"/>
    <x v="54"/>
    <x v="0"/>
    <x v="0"/>
  </r>
  <r>
    <x v="2"/>
    <x v="0"/>
    <x v="0"/>
    <x v="2"/>
    <x v="2"/>
    <x v="2"/>
    <x v="12"/>
    <x v="12"/>
    <x v="12"/>
    <x v="12"/>
    <x v="17"/>
    <x v="55"/>
    <x v="54"/>
    <x v="57"/>
    <x v="54"/>
    <x v="53"/>
    <x v="53"/>
    <x v="0"/>
    <x v="0"/>
  </r>
  <r>
    <x v="2"/>
    <x v="0"/>
    <x v="0"/>
    <x v="2"/>
    <x v="2"/>
    <x v="2"/>
    <x v="3"/>
    <x v="3"/>
    <x v="3"/>
    <x v="3"/>
    <x v="18"/>
    <x v="56"/>
    <x v="55"/>
    <x v="58"/>
    <x v="55"/>
    <x v="55"/>
    <x v="55"/>
    <x v="0"/>
    <x v="0"/>
  </r>
  <r>
    <x v="2"/>
    <x v="0"/>
    <x v="0"/>
    <x v="2"/>
    <x v="2"/>
    <x v="2"/>
    <x v="27"/>
    <x v="27"/>
    <x v="27"/>
    <x v="27"/>
    <x v="19"/>
    <x v="57"/>
    <x v="56"/>
    <x v="59"/>
    <x v="56"/>
    <x v="56"/>
    <x v="56"/>
    <x v="0"/>
    <x v="0"/>
  </r>
  <r>
    <x v="3"/>
    <x v="0"/>
    <x v="0"/>
    <x v="2"/>
    <x v="3"/>
    <x v="3"/>
    <x v="0"/>
    <x v="0"/>
    <x v="0"/>
    <x v="0"/>
    <x v="0"/>
    <x v="58"/>
    <x v="57"/>
    <x v="60"/>
    <x v="57"/>
    <x v="45"/>
    <x v="57"/>
    <x v="0"/>
    <x v="0"/>
  </r>
  <r>
    <x v="3"/>
    <x v="0"/>
    <x v="0"/>
    <x v="2"/>
    <x v="3"/>
    <x v="3"/>
    <x v="1"/>
    <x v="1"/>
    <x v="1"/>
    <x v="1"/>
    <x v="1"/>
    <x v="59"/>
    <x v="58"/>
    <x v="61"/>
    <x v="58"/>
    <x v="57"/>
    <x v="58"/>
    <x v="0"/>
    <x v="0"/>
  </r>
  <r>
    <x v="3"/>
    <x v="0"/>
    <x v="0"/>
    <x v="2"/>
    <x v="3"/>
    <x v="3"/>
    <x v="7"/>
    <x v="7"/>
    <x v="7"/>
    <x v="7"/>
    <x v="2"/>
    <x v="60"/>
    <x v="59"/>
    <x v="62"/>
    <x v="59"/>
    <x v="58"/>
    <x v="59"/>
    <x v="0"/>
    <x v="0"/>
  </r>
  <r>
    <x v="3"/>
    <x v="0"/>
    <x v="0"/>
    <x v="2"/>
    <x v="3"/>
    <x v="3"/>
    <x v="8"/>
    <x v="8"/>
    <x v="8"/>
    <x v="8"/>
    <x v="3"/>
    <x v="61"/>
    <x v="60"/>
    <x v="63"/>
    <x v="60"/>
    <x v="59"/>
    <x v="8"/>
    <x v="0"/>
    <x v="0"/>
  </r>
  <r>
    <x v="3"/>
    <x v="0"/>
    <x v="0"/>
    <x v="2"/>
    <x v="3"/>
    <x v="3"/>
    <x v="9"/>
    <x v="9"/>
    <x v="9"/>
    <x v="9"/>
    <x v="4"/>
    <x v="62"/>
    <x v="61"/>
    <x v="64"/>
    <x v="61"/>
    <x v="45"/>
    <x v="57"/>
    <x v="0"/>
    <x v="0"/>
  </r>
  <r>
    <x v="3"/>
    <x v="0"/>
    <x v="0"/>
    <x v="2"/>
    <x v="3"/>
    <x v="3"/>
    <x v="4"/>
    <x v="4"/>
    <x v="4"/>
    <x v="4"/>
    <x v="5"/>
    <x v="44"/>
    <x v="62"/>
    <x v="65"/>
    <x v="62"/>
    <x v="20"/>
    <x v="60"/>
    <x v="0"/>
    <x v="0"/>
  </r>
  <r>
    <x v="3"/>
    <x v="0"/>
    <x v="0"/>
    <x v="2"/>
    <x v="3"/>
    <x v="3"/>
    <x v="2"/>
    <x v="2"/>
    <x v="2"/>
    <x v="2"/>
    <x v="6"/>
    <x v="63"/>
    <x v="63"/>
    <x v="66"/>
    <x v="63"/>
    <x v="60"/>
    <x v="61"/>
    <x v="0"/>
    <x v="0"/>
  </r>
  <r>
    <x v="3"/>
    <x v="0"/>
    <x v="0"/>
    <x v="2"/>
    <x v="3"/>
    <x v="3"/>
    <x v="3"/>
    <x v="3"/>
    <x v="3"/>
    <x v="3"/>
    <x v="7"/>
    <x v="64"/>
    <x v="64"/>
    <x v="67"/>
    <x v="64"/>
    <x v="61"/>
    <x v="62"/>
    <x v="0"/>
    <x v="0"/>
  </r>
  <r>
    <x v="3"/>
    <x v="0"/>
    <x v="0"/>
    <x v="2"/>
    <x v="3"/>
    <x v="3"/>
    <x v="5"/>
    <x v="5"/>
    <x v="5"/>
    <x v="5"/>
    <x v="8"/>
    <x v="65"/>
    <x v="65"/>
    <x v="68"/>
    <x v="65"/>
    <x v="62"/>
    <x v="63"/>
    <x v="0"/>
    <x v="0"/>
  </r>
  <r>
    <x v="3"/>
    <x v="0"/>
    <x v="0"/>
    <x v="2"/>
    <x v="3"/>
    <x v="3"/>
    <x v="12"/>
    <x v="12"/>
    <x v="12"/>
    <x v="12"/>
    <x v="9"/>
    <x v="66"/>
    <x v="66"/>
    <x v="69"/>
    <x v="66"/>
    <x v="62"/>
    <x v="63"/>
    <x v="0"/>
    <x v="0"/>
  </r>
  <r>
    <x v="3"/>
    <x v="0"/>
    <x v="0"/>
    <x v="2"/>
    <x v="3"/>
    <x v="3"/>
    <x v="6"/>
    <x v="6"/>
    <x v="6"/>
    <x v="6"/>
    <x v="10"/>
    <x v="67"/>
    <x v="67"/>
    <x v="70"/>
    <x v="67"/>
    <x v="56"/>
    <x v="64"/>
    <x v="0"/>
    <x v="0"/>
  </r>
  <r>
    <x v="3"/>
    <x v="0"/>
    <x v="0"/>
    <x v="2"/>
    <x v="3"/>
    <x v="3"/>
    <x v="15"/>
    <x v="15"/>
    <x v="15"/>
    <x v="15"/>
    <x v="11"/>
    <x v="68"/>
    <x v="68"/>
    <x v="56"/>
    <x v="68"/>
    <x v="63"/>
    <x v="65"/>
    <x v="0"/>
    <x v="0"/>
  </r>
  <r>
    <x v="3"/>
    <x v="0"/>
    <x v="0"/>
    <x v="2"/>
    <x v="3"/>
    <x v="3"/>
    <x v="11"/>
    <x v="11"/>
    <x v="11"/>
    <x v="11"/>
    <x v="12"/>
    <x v="69"/>
    <x v="69"/>
    <x v="51"/>
    <x v="69"/>
    <x v="44"/>
    <x v="66"/>
    <x v="0"/>
    <x v="0"/>
  </r>
  <r>
    <x v="3"/>
    <x v="0"/>
    <x v="0"/>
    <x v="2"/>
    <x v="3"/>
    <x v="3"/>
    <x v="14"/>
    <x v="14"/>
    <x v="14"/>
    <x v="14"/>
    <x v="13"/>
    <x v="56"/>
    <x v="70"/>
    <x v="71"/>
    <x v="70"/>
    <x v="64"/>
    <x v="67"/>
    <x v="0"/>
    <x v="0"/>
  </r>
  <r>
    <x v="3"/>
    <x v="0"/>
    <x v="0"/>
    <x v="2"/>
    <x v="3"/>
    <x v="3"/>
    <x v="21"/>
    <x v="21"/>
    <x v="21"/>
    <x v="21"/>
    <x v="14"/>
    <x v="70"/>
    <x v="52"/>
    <x v="59"/>
    <x v="71"/>
    <x v="65"/>
    <x v="68"/>
    <x v="0"/>
    <x v="0"/>
  </r>
  <r>
    <x v="3"/>
    <x v="0"/>
    <x v="0"/>
    <x v="2"/>
    <x v="3"/>
    <x v="3"/>
    <x v="20"/>
    <x v="20"/>
    <x v="20"/>
    <x v="20"/>
    <x v="15"/>
    <x v="71"/>
    <x v="71"/>
    <x v="72"/>
    <x v="72"/>
    <x v="66"/>
    <x v="69"/>
    <x v="0"/>
    <x v="0"/>
  </r>
  <r>
    <x v="3"/>
    <x v="0"/>
    <x v="0"/>
    <x v="2"/>
    <x v="3"/>
    <x v="3"/>
    <x v="18"/>
    <x v="18"/>
    <x v="18"/>
    <x v="18"/>
    <x v="16"/>
    <x v="72"/>
    <x v="33"/>
    <x v="73"/>
    <x v="73"/>
    <x v="67"/>
    <x v="70"/>
    <x v="0"/>
    <x v="0"/>
  </r>
  <r>
    <x v="3"/>
    <x v="0"/>
    <x v="0"/>
    <x v="2"/>
    <x v="3"/>
    <x v="3"/>
    <x v="28"/>
    <x v="28"/>
    <x v="28"/>
    <x v="28"/>
    <x v="17"/>
    <x v="73"/>
    <x v="53"/>
    <x v="74"/>
    <x v="16"/>
    <x v="68"/>
    <x v="71"/>
    <x v="0"/>
    <x v="0"/>
  </r>
  <r>
    <x v="3"/>
    <x v="0"/>
    <x v="0"/>
    <x v="2"/>
    <x v="3"/>
    <x v="3"/>
    <x v="25"/>
    <x v="25"/>
    <x v="25"/>
    <x v="25"/>
    <x v="17"/>
    <x v="73"/>
    <x v="53"/>
    <x v="75"/>
    <x v="74"/>
    <x v="45"/>
    <x v="57"/>
    <x v="0"/>
    <x v="0"/>
  </r>
  <r>
    <x v="3"/>
    <x v="0"/>
    <x v="0"/>
    <x v="2"/>
    <x v="3"/>
    <x v="3"/>
    <x v="13"/>
    <x v="13"/>
    <x v="13"/>
    <x v="13"/>
    <x v="19"/>
    <x v="74"/>
    <x v="17"/>
    <x v="76"/>
    <x v="75"/>
    <x v="69"/>
    <x v="72"/>
    <x v="0"/>
    <x v="0"/>
  </r>
  <r>
    <x v="4"/>
    <x v="0"/>
    <x v="0"/>
    <x v="2"/>
    <x v="4"/>
    <x v="4"/>
    <x v="2"/>
    <x v="2"/>
    <x v="2"/>
    <x v="2"/>
    <x v="0"/>
    <x v="75"/>
    <x v="72"/>
    <x v="77"/>
    <x v="76"/>
    <x v="59"/>
    <x v="6"/>
    <x v="0"/>
    <x v="0"/>
  </r>
  <r>
    <x v="4"/>
    <x v="0"/>
    <x v="0"/>
    <x v="2"/>
    <x v="4"/>
    <x v="4"/>
    <x v="1"/>
    <x v="1"/>
    <x v="1"/>
    <x v="1"/>
    <x v="1"/>
    <x v="76"/>
    <x v="73"/>
    <x v="78"/>
    <x v="77"/>
    <x v="70"/>
    <x v="73"/>
    <x v="0"/>
    <x v="0"/>
  </r>
  <r>
    <x v="4"/>
    <x v="0"/>
    <x v="0"/>
    <x v="2"/>
    <x v="4"/>
    <x v="4"/>
    <x v="8"/>
    <x v="8"/>
    <x v="8"/>
    <x v="8"/>
    <x v="2"/>
    <x v="77"/>
    <x v="74"/>
    <x v="79"/>
    <x v="78"/>
    <x v="59"/>
    <x v="6"/>
    <x v="0"/>
    <x v="0"/>
  </r>
  <r>
    <x v="4"/>
    <x v="0"/>
    <x v="0"/>
    <x v="2"/>
    <x v="4"/>
    <x v="4"/>
    <x v="7"/>
    <x v="7"/>
    <x v="7"/>
    <x v="7"/>
    <x v="3"/>
    <x v="78"/>
    <x v="61"/>
    <x v="80"/>
    <x v="79"/>
    <x v="71"/>
    <x v="74"/>
    <x v="0"/>
    <x v="0"/>
  </r>
  <r>
    <x v="4"/>
    <x v="0"/>
    <x v="0"/>
    <x v="2"/>
    <x v="4"/>
    <x v="4"/>
    <x v="4"/>
    <x v="4"/>
    <x v="4"/>
    <x v="4"/>
    <x v="4"/>
    <x v="79"/>
    <x v="75"/>
    <x v="81"/>
    <x v="80"/>
    <x v="62"/>
    <x v="75"/>
    <x v="0"/>
    <x v="0"/>
  </r>
  <r>
    <x v="4"/>
    <x v="0"/>
    <x v="0"/>
    <x v="2"/>
    <x v="4"/>
    <x v="4"/>
    <x v="0"/>
    <x v="0"/>
    <x v="0"/>
    <x v="0"/>
    <x v="5"/>
    <x v="80"/>
    <x v="76"/>
    <x v="63"/>
    <x v="43"/>
    <x v="72"/>
    <x v="76"/>
    <x v="0"/>
    <x v="0"/>
  </r>
  <r>
    <x v="4"/>
    <x v="0"/>
    <x v="0"/>
    <x v="2"/>
    <x v="4"/>
    <x v="4"/>
    <x v="12"/>
    <x v="12"/>
    <x v="12"/>
    <x v="12"/>
    <x v="6"/>
    <x v="81"/>
    <x v="43"/>
    <x v="82"/>
    <x v="81"/>
    <x v="73"/>
    <x v="77"/>
    <x v="0"/>
    <x v="0"/>
  </r>
  <r>
    <x v="4"/>
    <x v="0"/>
    <x v="0"/>
    <x v="2"/>
    <x v="4"/>
    <x v="4"/>
    <x v="3"/>
    <x v="3"/>
    <x v="3"/>
    <x v="3"/>
    <x v="7"/>
    <x v="82"/>
    <x v="25"/>
    <x v="83"/>
    <x v="82"/>
    <x v="65"/>
    <x v="3"/>
    <x v="0"/>
    <x v="0"/>
  </r>
  <r>
    <x v="4"/>
    <x v="0"/>
    <x v="0"/>
    <x v="2"/>
    <x v="4"/>
    <x v="4"/>
    <x v="6"/>
    <x v="6"/>
    <x v="6"/>
    <x v="6"/>
    <x v="8"/>
    <x v="83"/>
    <x v="77"/>
    <x v="84"/>
    <x v="83"/>
    <x v="56"/>
    <x v="78"/>
    <x v="0"/>
    <x v="0"/>
  </r>
  <r>
    <x v="4"/>
    <x v="0"/>
    <x v="0"/>
    <x v="2"/>
    <x v="4"/>
    <x v="4"/>
    <x v="21"/>
    <x v="21"/>
    <x v="21"/>
    <x v="21"/>
    <x v="9"/>
    <x v="84"/>
    <x v="78"/>
    <x v="67"/>
    <x v="84"/>
    <x v="74"/>
    <x v="79"/>
    <x v="0"/>
    <x v="0"/>
  </r>
  <r>
    <x v="4"/>
    <x v="0"/>
    <x v="0"/>
    <x v="2"/>
    <x v="4"/>
    <x v="4"/>
    <x v="9"/>
    <x v="9"/>
    <x v="9"/>
    <x v="9"/>
    <x v="10"/>
    <x v="48"/>
    <x v="79"/>
    <x v="85"/>
    <x v="85"/>
    <x v="75"/>
    <x v="80"/>
    <x v="0"/>
    <x v="0"/>
  </r>
  <r>
    <x v="4"/>
    <x v="0"/>
    <x v="0"/>
    <x v="2"/>
    <x v="4"/>
    <x v="4"/>
    <x v="29"/>
    <x v="29"/>
    <x v="29"/>
    <x v="29"/>
    <x v="11"/>
    <x v="66"/>
    <x v="80"/>
    <x v="86"/>
    <x v="86"/>
    <x v="71"/>
    <x v="74"/>
    <x v="0"/>
    <x v="0"/>
  </r>
  <r>
    <x v="4"/>
    <x v="0"/>
    <x v="0"/>
    <x v="2"/>
    <x v="4"/>
    <x v="4"/>
    <x v="14"/>
    <x v="14"/>
    <x v="14"/>
    <x v="14"/>
    <x v="12"/>
    <x v="50"/>
    <x v="81"/>
    <x v="87"/>
    <x v="87"/>
    <x v="58"/>
    <x v="81"/>
    <x v="0"/>
    <x v="0"/>
  </r>
  <r>
    <x v="4"/>
    <x v="0"/>
    <x v="0"/>
    <x v="2"/>
    <x v="4"/>
    <x v="4"/>
    <x v="23"/>
    <x v="23"/>
    <x v="23"/>
    <x v="23"/>
    <x v="13"/>
    <x v="85"/>
    <x v="70"/>
    <x v="88"/>
    <x v="88"/>
    <x v="50"/>
    <x v="82"/>
    <x v="0"/>
    <x v="0"/>
  </r>
  <r>
    <x v="4"/>
    <x v="0"/>
    <x v="0"/>
    <x v="2"/>
    <x v="4"/>
    <x v="4"/>
    <x v="15"/>
    <x v="15"/>
    <x v="15"/>
    <x v="15"/>
    <x v="14"/>
    <x v="86"/>
    <x v="54"/>
    <x v="89"/>
    <x v="89"/>
    <x v="66"/>
    <x v="83"/>
    <x v="0"/>
    <x v="0"/>
  </r>
  <r>
    <x v="4"/>
    <x v="0"/>
    <x v="0"/>
    <x v="2"/>
    <x v="4"/>
    <x v="4"/>
    <x v="19"/>
    <x v="19"/>
    <x v="19"/>
    <x v="19"/>
    <x v="15"/>
    <x v="69"/>
    <x v="14"/>
    <x v="90"/>
    <x v="90"/>
    <x v="76"/>
    <x v="84"/>
    <x v="0"/>
    <x v="0"/>
  </r>
  <r>
    <x v="4"/>
    <x v="0"/>
    <x v="0"/>
    <x v="2"/>
    <x v="4"/>
    <x v="4"/>
    <x v="17"/>
    <x v="17"/>
    <x v="17"/>
    <x v="17"/>
    <x v="16"/>
    <x v="54"/>
    <x v="16"/>
    <x v="91"/>
    <x v="91"/>
    <x v="77"/>
    <x v="85"/>
    <x v="0"/>
    <x v="0"/>
  </r>
  <r>
    <x v="4"/>
    <x v="0"/>
    <x v="0"/>
    <x v="2"/>
    <x v="4"/>
    <x v="4"/>
    <x v="11"/>
    <x v="11"/>
    <x v="11"/>
    <x v="11"/>
    <x v="17"/>
    <x v="55"/>
    <x v="82"/>
    <x v="92"/>
    <x v="92"/>
    <x v="45"/>
    <x v="86"/>
    <x v="0"/>
    <x v="0"/>
  </r>
  <r>
    <x v="4"/>
    <x v="0"/>
    <x v="0"/>
    <x v="2"/>
    <x v="4"/>
    <x v="4"/>
    <x v="30"/>
    <x v="30"/>
    <x v="30"/>
    <x v="30"/>
    <x v="18"/>
    <x v="57"/>
    <x v="83"/>
    <x v="93"/>
    <x v="93"/>
    <x v="78"/>
    <x v="87"/>
    <x v="0"/>
    <x v="0"/>
  </r>
  <r>
    <x v="4"/>
    <x v="0"/>
    <x v="0"/>
    <x v="2"/>
    <x v="4"/>
    <x v="4"/>
    <x v="18"/>
    <x v="18"/>
    <x v="18"/>
    <x v="18"/>
    <x v="19"/>
    <x v="70"/>
    <x v="84"/>
    <x v="94"/>
    <x v="94"/>
    <x v="34"/>
    <x v="88"/>
    <x v="0"/>
    <x v="0"/>
  </r>
  <r>
    <x v="5"/>
    <x v="0"/>
    <x v="0"/>
    <x v="2"/>
    <x v="5"/>
    <x v="5"/>
    <x v="31"/>
    <x v="31"/>
    <x v="31"/>
    <x v="31"/>
    <x v="0"/>
    <x v="87"/>
    <x v="85"/>
    <x v="95"/>
    <x v="95"/>
    <x v="58"/>
    <x v="75"/>
    <x v="0"/>
    <x v="0"/>
  </r>
  <r>
    <x v="5"/>
    <x v="0"/>
    <x v="0"/>
    <x v="2"/>
    <x v="5"/>
    <x v="5"/>
    <x v="2"/>
    <x v="2"/>
    <x v="2"/>
    <x v="2"/>
    <x v="1"/>
    <x v="88"/>
    <x v="86"/>
    <x v="96"/>
    <x v="96"/>
    <x v="79"/>
    <x v="89"/>
    <x v="0"/>
    <x v="0"/>
  </r>
  <r>
    <x v="5"/>
    <x v="0"/>
    <x v="0"/>
    <x v="2"/>
    <x v="5"/>
    <x v="5"/>
    <x v="0"/>
    <x v="0"/>
    <x v="0"/>
    <x v="0"/>
    <x v="2"/>
    <x v="89"/>
    <x v="87"/>
    <x v="97"/>
    <x v="3"/>
    <x v="59"/>
    <x v="90"/>
    <x v="0"/>
    <x v="0"/>
  </r>
  <r>
    <x v="5"/>
    <x v="0"/>
    <x v="0"/>
    <x v="2"/>
    <x v="5"/>
    <x v="5"/>
    <x v="8"/>
    <x v="8"/>
    <x v="8"/>
    <x v="8"/>
    <x v="3"/>
    <x v="90"/>
    <x v="88"/>
    <x v="98"/>
    <x v="80"/>
    <x v="56"/>
    <x v="91"/>
    <x v="0"/>
    <x v="0"/>
  </r>
  <r>
    <x v="5"/>
    <x v="0"/>
    <x v="0"/>
    <x v="2"/>
    <x v="5"/>
    <x v="5"/>
    <x v="12"/>
    <x v="12"/>
    <x v="12"/>
    <x v="12"/>
    <x v="4"/>
    <x v="47"/>
    <x v="89"/>
    <x v="99"/>
    <x v="97"/>
    <x v="62"/>
    <x v="92"/>
    <x v="0"/>
    <x v="0"/>
  </r>
  <r>
    <x v="5"/>
    <x v="0"/>
    <x v="0"/>
    <x v="2"/>
    <x v="5"/>
    <x v="5"/>
    <x v="7"/>
    <x v="7"/>
    <x v="7"/>
    <x v="7"/>
    <x v="4"/>
    <x v="47"/>
    <x v="89"/>
    <x v="47"/>
    <x v="98"/>
    <x v="75"/>
    <x v="27"/>
    <x v="0"/>
    <x v="0"/>
  </r>
  <r>
    <x v="5"/>
    <x v="0"/>
    <x v="0"/>
    <x v="2"/>
    <x v="5"/>
    <x v="5"/>
    <x v="21"/>
    <x v="21"/>
    <x v="21"/>
    <x v="21"/>
    <x v="6"/>
    <x v="91"/>
    <x v="90"/>
    <x v="64"/>
    <x v="99"/>
    <x v="74"/>
    <x v="93"/>
    <x v="0"/>
    <x v="0"/>
  </r>
  <r>
    <x v="5"/>
    <x v="0"/>
    <x v="0"/>
    <x v="2"/>
    <x v="5"/>
    <x v="5"/>
    <x v="1"/>
    <x v="1"/>
    <x v="1"/>
    <x v="1"/>
    <x v="7"/>
    <x v="92"/>
    <x v="91"/>
    <x v="100"/>
    <x v="40"/>
    <x v="80"/>
    <x v="94"/>
    <x v="0"/>
    <x v="0"/>
  </r>
  <r>
    <x v="5"/>
    <x v="0"/>
    <x v="0"/>
    <x v="2"/>
    <x v="5"/>
    <x v="5"/>
    <x v="4"/>
    <x v="4"/>
    <x v="4"/>
    <x v="4"/>
    <x v="8"/>
    <x v="93"/>
    <x v="92"/>
    <x v="101"/>
    <x v="100"/>
    <x v="81"/>
    <x v="95"/>
    <x v="0"/>
    <x v="0"/>
  </r>
  <r>
    <x v="5"/>
    <x v="0"/>
    <x v="0"/>
    <x v="2"/>
    <x v="5"/>
    <x v="5"/>
    <x v="6"/>
    <x v="6"/>
    <x v="6"/>
    <x v="6"/>
    <x v="9"/>
    <x v="68"/>
    <x v="93"/>
    <x v="70"/>
    <x v="101"/>
    <x v="61"/>
    <x v="62"/>
    <x v="0"/>
    <x v="0"/>
  </r>
  <r>
    <x v="5"/>
    <x v="0"/>
    <x v="0"/>
    <x v="2"/>
    <x v="5"/>
    <x v="5"/>
    <x v="32"/>
    <x v="32"/>
    <x v="32"/>
    <x v="32"/>
    <x v="10"/>
    <x v="94"/>
    <x v="48"/>
    <x v="88"/>
    <x v="102"/>
    <x v="45"/>
    <x v="96"/>
    <x v="0"/>
    <x v="0"/>
  </r>
  <r>
    <x v="5"/>
    <x v="0"/>
    <x v="0"/>
    <x v="2"/>
    <x v="5"/>
    <x v="5"/>
    <x v="23"/>
    <x v="23"/>
    <x v="23"/>
    <x v="23"/>
    <x v="10"/>
    <x v="94"/>
    <x v="48"/>
    <x v="102"/>
    <x v="87"/>
    <x v="58"/>
    <x v="75"/>
    <x v="5"/>
    <x v="12"/>
  </r>
  <r>
    <x v="5"/>
    <x v="0"/>
    <x v="0"/>
    <x v="2"/>
    <x v="5"/>
    <x v="5"/>
    <x v="9"/>
    <x v="9"/>
    <x v="9"/>
    <x v="9"/>
    <x v="12"/>
    <x v="95"/>
    <x v="94"/>
    <x v="103"/>
    <x v="103"/>
    <x v="74"/>
    <x v="93"/>
    <x v="0"/>
    <x v="0"/>
  </r>
  <r>
    <x v="5"/>
    <x v="0"/>
    <x v="0"/>
    <x v="2"/>
    <x v="5"/>
    <x v="5"/>
    <x v="33"/>
    <x v="33"/>
    <x v="33"/>
    <x v="33"/>
    <x v="13"/>
    <x v="96"/>
    <x v="95"/>
    <x v="55"/>
    <x v="104"/>
    <x v="82"/>
    <x v="97"/>
    <x v="0"/>
    <x v="0"/>
  </r>
  <r>
    <x v="5"/>
    <x v="0"/>
    <x v="0"/>
    <x v="2"/>
    <x v="5"/>
    <x v="5"/>
    <x v="14"/>
    <x v="14"/>
    <x v="14"/>
    <x v="14"/>
    <x v="14"/>
    <x v="52"/>
    <x v="96"/>
    <x v="104"/>
    <x v="105"/>
    <x v="44"/>
    <x v="98"/>
    <x v="0"/>
    <x v="0"/>
  </r>
  <r>
    <x v="5"/>
    <x v="0"/>
    <x v="0"/>
    <x v="2"/>
    <x v="5"/>
    <x v="5"/>
    <x v="29"/>
    <x v="29"/>
    <x v="29"/>
    <x v="29"/>
    <x v="15"/>
    <x v="97"/>
    <x v="97"/>
    <x v="105"/>
    <x v="106"/>
    <x v="83"/>
    <x v="99"/>
    <x v="0"/>
    <x v="0"/>
  </r>
  <r>
    <x v="5"/>
    <x v="0"/>
    <x v="0"/>
    <x v="2"/>
    <x v="5"/>
    <x v="5"/>
    <x v="3"/>
    <x v="3"/>
    <x v="3"/>
    <x v="3"/>
    <x v="16"/>
    <x v="98"/>
    <x v="16"/>
    <x v="106"/>
    <x v="11"/>
    <x v="61"/>
    <x v="62"/>
    <x v="0"/>
    <x v="0"/>
  </r>
  <r>
    <x v="5"/>
    <x v="0"/>
    <x v="0"/>
    <x v="2"/>
    <x v="5"/>
    <x v="5"/>
    <x v="34"/>
    <x v="34"/>
    <x v="34"/>
    <x v="34"/>
    <x v="17"/>
    <x v="72"/>
    <x v="98"/>
    <x v="76"/>
    <x v="17"/>
    <x v="81"/>
    <x v="95"/>
    <x v="0"/>
    <x v="0"/>
  </r>
  <r>
    <x v="5"/>
    <x v="0"/>
    <x v="0"/>
    <x v="2"/>
    <x v="5"/>
    <x v="5"/>
    <x v="19"/>
    <x v="19"/>
    <x v="19"/>
    <x v="19"/>
    <x v="18"/>
    <x v="99"/>
    <x v="83"/>
    <x v="107"/>
    <x v="107"/>
    <x v="51"/>
    <x v="100"/>
    <x v="0"/>
    <x v="0"/>
  </r>
  <r>
    <x v="5"/>
    <x v="0"/>
    <x v="0"/>
    <x v="2"/>
    <x v="5"/>
    <x v="5"/>
    <x v="18"/>
    <x v="18"/>
    <x v="18"/>
    <x v="18"/>
    <x v="19"/>
    <x v="100"/>
    <x v="84"/>
    <x v="108"/>
    <x v="108"/>
    <x v="81"/>
    <x v="95"/>
    <x v="0"/>
    <x v="0"/>
  </r>
  <r>
    <x v="6"/>
    <x v="0"/>
    <x v="0"/>
    <x v="2"/>
    <x v="6"/>
    <x v="6"/>
    <x v="0"/>
    <x v="0"/>
    <x v="0"/>
    <x v="0"/>
    <x v="0"/>
    <x v="101"/>
    <x v="99"/>
    <x v="84"/>
    <x v="109"/>
    <x v="58"/>
    <x v="101"/>
    <x v="0"/>
    <x v="0"/>
  </r>
  <r>
    <x v="6"/>
    <x v="0"/>
    <x v="0"/>
    <x v="2"/>
    <x v="6"/>
    <x v="6"/>
    <x v="2"/>
    <x v="2"/>
    <x v="2"/>
    <x v="2"/>
    <x v="1"/>
    <x v="102"/>
    <x v="100"/>
    <x v="109"/>
    <x v="110"/>
    <x v="60"/>
    <x v="51"/>
    <x v="0"/>
    <x v="0"/>
  </r>
  <r>
    <x v="6"/>
    <x v="0"/>
    <x v="0"/>
    <x v="2"/>
    <x v="6"/>
    <x v="6"/>
    <x v="1"/>
    <x v="1"/>
    <x v="1"/>
    <x v="1"/>
    <x v="2"/>
    <x v="83"/>
    <x v="101"/>
    <x v="110"/>
    <x v="111"/>
    <x v="84"/>
    <x v="102"/>
    <x v="0"/>
    <x v="0"/>
  </r>
  <r>
    <x v="6"/>
    <x v="0"/>
    <x v="0"/>
    <x v="2"/>
    <x v="6"/>
    <x v="6"/>
    <x v="7"/>
    <x v="7"/>
    <x v="7"/>
    <x v="7"/>
    <x v="3"/>
    <x v="103"/>
    <x v="102"/>
    <x v="52"/>
    <x v="112"/>
    <x v="85"/>
    <x v="23"/>
    <x v="0"/>
    <x v="0"/>
  </r>
  <r>
    <x v="6"/>
    <x v="0"/>
    <x v="0"/>
    <x v="2"/>
    <x v="6"/>
    <x v="6"/>
    <x v="6"/>
    <x v="6"/>
    <x v="6"/>
    <x v="6"/>
    <x v="4"/>
    <x v="104"/>
    <x v="103"/>
    <x v="111"/>
    <x v="113"/>
    <x v="85"/>
    <x v="23"/>
    <x v="0"/>
    <x v="0"/>
  </r>
  <r>
    <x v="6"/>
    <x v="0"/>
    <x v="0"/>
    <x v="2"/>
    <x v="6"/>
    <x v="6"/>
    <x v="5"/>
    <x v="5"/>
    <x v="5"/>
    <x v="5"/>
    <x v="5"/>
    <x v="53"/>
    <x v="104"/>
    <x v="59"/>
    <x v="114"/>
    <x v="50"/>
    <x v="43"/>
    <x v="5"/>
    <x v="13"/>
  </r>
  <r>
    <x v="6"/>
    <x v="0"/>
    <x v="0"/>
    <x v="2"/>
    <x v="6"/>
    <x v="6"/>
    <x v="8"/>
    <x v="8"/>
    <x v="8"/>
    <x v="8"/>
    <x v="6"/>
    <x v="105"/>
    <x v="46"/>
    <x v="112"/>
    <x v="115"/>
    <x v="56"/>
    <x v="103"/>
    <x v="0"/>
    <x v="0"/>
  </r>
  <r>
    <x v="6"/>
    <x v="0"/>
    <x v="0"/>
    <x v="2"/>
    <x v="6"/>
    <x v="6"/>
    <x v="9"/>
    <x v="9"/>
    <x v="9"/>
    <x v="9"/>
    <x v="7"/>
    <x v="86"/>
    <x v="105"/>
    <x v="102"/>
    <x v="6"/>
    <x v="74"/>
    <x v="104"/>
    <x v="0"/>
    <x v="0"/>
  </r>
  <r>
    <x v="6"/>
    <x v="0"/>
    <x v="0"/>
    <x v="2"/>
    <x v="6"/>
    <x v="6"/>
    <x v="12"/>
    <x v="12"/>
    <x v="12"/>
    <x v="12"/>
    <x v="8"/>
    <x v="106"/>
    <x v="106"/>
    <x v="113"/>
    <x v="116"/>
    <x v="81"/>
    <x v="105"/>
    <x v="0"/>
    <x v="0"/>
  </r>
  <r>
    <x v="6"/>
    <x v="0"/>
    <x v="0"/>
    <x v="2"/>
    <x v="6"/>
    <x v="6"/>
    <x v="15"/>
    <x v="15"/>
    <x v="15"/>
    <x v="15"/>
    <x v="9"/>
    <x v="55"/>
    <x v="107"/>
    <x v="114"/>
    <x v="117"/>
    <x v="86"/>
    <x v="106"/>
    <x v="0"/>
    <x v="0"/>
  </r>
  <r>
    <x v="6"/>
    <x v="0"/>
    <x v="0"/>
    <x v="2"/>
    <x v="6"/>
    <x v="6"/>
    <x v="4"/>
    <x v="4"/>
    <x v="4"/>
    <x v="4"/>
    <x v="10"/>
    <x v="70"/>
    <x v="108"/>
    <x v="115"/>
    <x v="118"/>
    <x v="69"/>
    <x v="77"/>
    <x v="0"/>
    <x v="0"/>
  </r>
  <r>
    <x v="6"/>
    <x v="0"/>
    <x v="0"/>
    <x v="2"/>
    <x v="6"/>
    <x v="6"/>
    <x v="14"/>
    <x v="14"/>
    <x v="14"/>
    <x v="14"/>
    <x v="10"/>
    <x v="70"/>
    <x v="108"/>
    <x v="113"/>
    <x v="116"/>
    <x v="64"/>
    <x v="107"/>
    <x v="0"/>
    <x v="0"/>
  </r>
  <r>
    <x v="6"/>
    <x v="0"/>
    <x v="0"/>
    <x v="2"/>
    <x v="6"/>
    <x v="6"/>
    <x v="20"/>
    <x v="20"/>
    <x v="20"/>
    <x v="20"/>
    <x v="12"/>
    <x v="107"/>
    <x v="70"/>
    <x v="116"/>
    <x v="119"/>
    <x v="87"/>
    <x v="108"/>
    <x v="0"/>
    <x v="0"/>
  </r>
  <r>
    <x v="6"/>
    <x v="0"/>
    <x v="0"/>
    <x v="2"/>
    <x v="6"/>
    <x v="6"/>
    <x v="11"/>
    <x v="11"/>
    <x v="11"/>
    <x v="11"/>
    <x v="13"/>
    <x v="108"/>
    <x v="109"/>
    <x v="90"/>
    <x v="120"/>
    <x v="67"/>
    <x v="109"/>
    <x v="0"/>
    <x v="0"/>
  </r>
  <r>
    <x v="6"/>
    <x v="0"/>
    <x v="0"/>
    <x v="2"/>
    <x v="6"/>
    <x v="6"/>
    <x v="23"/>
    <x v="23"/>
    <x v="23"/>
    <x v="23"/>
    <x v="14"/>
    <x v="109"/>
    <x v="110"/>
    <x v="117"/>
    <x v="121"/>
    <x v="72"/>
    <x v="110"/>
    <x v="0"/>
    <x v="0"/>
  </r>
  <r>
    <x v="6"/>
    <x v="0"/>
    <x v="0"/>
    <x v="2"/>
    <x v="6"/>
    <x v="6"/>
    <x v="28"/>
    <x v="28"/>
    <x v="28"/>
    <x v="28"/>
    <x v="15"/>
    <x v="110"/>
    <x v="111"/>
    <x v="118"/>
    <x v="90"/>
    <x v="20"/>
    <x v="111"/>
    <x v="0"/>
    <x v="0"/>
  </r>
  <r>
    <x v="6"/>
    <x v="0"/>
    <x v="0"/>
    <x v="2"/>
    <x v="6"/>
    <x v="6"/>
    <x v="31"/>
    <x v="31"/>
    <x v="31"/>
    <x v="31"/>
    <x v="16"/>
    <x v="111"/>
    <x v="112"/>
    <x v="119"/>
    <x v="122"/>
    <x v="59"/>
    <x v="112"/>
    <x v="0"/>
    <x v="0"/>
  </r>
  <r>
    <x v="6"/>
    <x v="0"/>
    <x v="0"/>
    <x v="2"/>
    <x v="6"/>
    <x v="6"/>
    <x v="21"/>
    <x v="21"/>
    <x v="21"/>
    <x v="21"/>
    <x v="17"/>
    <x v="112"/>
    <x v="53"/>
    <x v="75"/>
    <x v="69"/>
    <x v="56"/>
    <x v="103"/>
    <x v="0"/>
    <x v="0"/>
  </r>
  <r>
    <x v="6"/>
    <x v="0"/>
    <x v="0"/>
    <x v="2"/>
    <x v="6"/>
    <x v="6"/>
    <x v="13"/>
    <x v="13"/>
    <x v="13"/>
    <x v="13"/>
    <x v="18"/>
    <x v="113"/>
    <x v="55"/>
    <x v="120"/>
    <x v="123"/>
    <x v="85"/>
    <x v="23"/>
    <x v="0"/>
    <x v="0"/>
  </r>
  <r>
    <x v="6"/>
    <x v="0"/>
    <x v="0"/>
    <x v="2"/>
    <x v="6"/>
    <x v="6"/>
    <x v="19"/>
    <x v="19"/>
    <x v="19"/>
    <x v="19"/>
    <x v="19"/>
    <x v="114"/>
    <x v="16"/>
    <x v="56"/>
    <x v="124"/>
    <x v="69"/>
    <x v="77"/>
    <x v="0"/>
    <x v="0"/>
  </r>
  <r>
    <x v="6"/>
    <x v="0"/>
    <x v="0"/>
    <x v="2"/>
    <x v="6"/>
    <x v="6"/>
    <x v="16"/>
    <x v="16"/>
    <x v="16"/>
    <x v="16"/>
    <x v="19"/>
    <x v="114"/>
    <x v="16"/>
    <x v="76"/>
    <x v="125"/>
    <x v="85"/>
    <x v="23"/>
    <x v="0"/>
    <x v="0"/>
  </r>
  <r>
    <x v="7"/>
    <x v="0"/>
    <x v="0"/>
    <x v="2"/>
    <x v="7"/>
    <x v="7"/>
    <x v="0"/>
    <x v="0"/>
    <x v="0"/>
    <x v="0"/>
    <x v="0"/>
    <x v="115"/>
    <x v="113"/>
    <x v="121"/>
    <x v="126"/>
    <x v="71"/>
    <x v="26"/>
    <x v="0"/>
    <x v="0"/>
  </r>
  <r>
    <x v="7"/>
    <x v="0"/>
    <x v="0"/>
    <x v="2"/>
    <x v="7"/>
    <x v="7"/>
    <x v="5"/>
    <x v="5"/>
    <x v="5"/>
    <x v="5"/>
    <x v="1"/>
    <x v="116"/>
    <x v="99"/>
    <x v="122"/>
    <x v="127"/>
    <x v="43"/>
    <x v="113"/>
    <x v="1"/>
    <x v="14"/>
  </r>
  <r>
    <x v="7"/>
    <x v="0"/>
    <x v="0"/>
    <x v="2"/>
    <x v="7"/>
    <x v="7"/>
    <x v="1"/>
    <x v="1"/>
    <x v="1"/>
    <x v="1"/>
    <x v="2"/>
    <x v="117"/>
    <x v="114"/>
    <x v="123"/>
    <x v="128"/>
    <x v="88"/>
    <x v="114"/>
    <x v="0"/>
    <x v="0"/>
  </r>
  <r>
    <x v="7"/>
    <x v="0"/>
    <x v="0"/>
    <x v="2"/>
    <x v="7"/>
    <x v="7"/>
    <x v="6"/>
    <x v="6"/>
    <x v="6"/>
    <x v="6"/>
    <x v="3"/>
    <x v="101"/>
    <x v="115"/>
    <x v="124"/>
    <x v="129"/>
    <x v="79"/>
    <x v="115"/>
    <x v="0"/>
    <x v="0"/>
  </r>
  <r>
    <x v="7"/>
    <x v="0"/>
    <x v="0"/>
    <x v="2"/>
    <x v="7"/>
    <x v="7"/>
    <x v="2"/>
    <x v="2"/>
    <x v="2"/>
    <x v="2"/>
    <x v="4"/>
    <x v="45"/>
    <x v="116"/>
    <x v="36"/>
    <x v="130"/>
    <x v="75"/>
    <x v="16"/>
    <x v="0"/>
    <x v="0"/>
  </r>
  <r>
    <x v="7"/>
    <x v="0"/>
    <x v="0"/>
    <x v="2"/>
    <x v="7"/>
    <x v="7"/>
    <x v="9"/>
    <x v="9"/>
    <x v="9"/>
    <x v="9"/>
    <x v="5"/>
    <x v="64"/>
    <x v="117"/>
    <x v="46"/>
    <x v="131"/>
    <x v="71"/>
    <x v="26"/>
    <x v="0"/>
    <x v="0"/>
  </r>
  <r>
    <x v="7"/>
    <x v="0"/>
    <x v="0"/>
    <x v="2"/>
    <x v="7"/>
    <x v="7"/>
    <x v="23"/>
    <x v="23"/>
    <x v="23"/>
    <x v="23"/>
    <x v="6"/>
    <x v="118"/>
    <x v="118"/>
    <x v="87"/>
    <x v="132"/>
    <x v="45"/>
    <x v="53"/>
    <x v="0"/>
    <x v="0"/>
  </r>
  <r>
    <x v="7"/>
    <x v="0"/>
    <x v="0"/>
    <x v="2"/>
    <x v="7"/>
    <x v="7"/>
    <x v="8"/>
    <x v="8"/>
    <x v="8"/>
    <x v="8"/>
    <x v="7"/>
    <x v="119"/>
    <x v="119"/>
    <x v="125"/>
    <x v="7"/>
    <x v="56"/>
    <x v="79"/>
    <x v="0"/>
    <x v="0"/>
  </r>
  <r>
    <x v="7"/>
    <x v="0"/>
    <x v="0"/>
    <x v="2"/>
    <x v="7"/>
    <x v="7"/>
    <x v="12"/>
    <x v="12"/>
    <x v="12"/>
    <x v="12"/>
    <x v="8"/>
    <x v="120"/>
    <x v="78"/>
    <x v="126"/>
    <x v="116"/>
    <x v="43"/>
    <x v="113"/>
    <x v="0"/>
    <x v="0"/>
  </r>
  <r>
    <x v="7"/>
    <x v="0"/>
    <x v="0"/>
    <x v="2"/>
    <x v="7"/>
    <x v="7"/>
    <x v="4"/>
    <x v="4"/>
    <x v="4"/>
    <x v="4"/>
    <x v="8"/>
    <x v="120"/>
    <x v="78"/>
    <x v="34"/>
    <x v="133"/>
    <x v="64"/>
    <x v="116"/>
    <x v="0"/>
    <x v="0"/>
  </r>
  <r>
    <x v="7"/>
    <x v="0"/>
    <x v="0"/>
    <x v="2"/>
    <x v="7"/>
    <x v="7"/>
    <x v="14"/>
    <x v="14"/>
    <x v="14"/>
    <x v="14"/>
    <x v="8"/>
    <x v="120"/>
    <x v="78"/>
    <x v="55"/>
    <x v="134"/>
    <x v="51"/>
    <x v="15"/>
    <x v="0"/>
    <x v="0"/>
  </r>
  <r>
    <x v="7"/>
    <x v="0"/>
    <x v="0"/>
    <x v="2"/>
    <x v="7"/>
    <x v="7"/>
    <x v="7"/>
    <x v="7"/>
    <x v="7"/>
    <x v="7"/>
    <x v="11"/>
    <x v="52"/>
    <x v="120"/>
    <x v="111"/>
    <x v="66"/>
    <x v="83"/>
    <x v="117"/>
    <x v="0"/>
    <x v="0"/>
  </r>
  <r>
    <x v="7"/>
    <x v="0"/>
    <x v="0"/>
    <x v="2"/>
    <x v="7"/>
    <x v="7"/>
    <x v="11"/>
    <x v="11"/>
    <x v="11"/>
    <x v="11"/>
    <x v="12"/>
    <x v="97"/>
    <x v="121"/>
    <x v="115"/>
    <x v="50"/>
    <x v="73"/>
    <x v="118"/>
    <x v="0"/>
    <x v="0"/>
  </r>
  <r>
    <x v="7"/>
    <x v="0"/>
    <x v="0"/>
    <x v="2"/>
    <x v="7"/>
    <x v="7"/>
    <x v="16"/>
    <x v="16"/>
    <x v="16"/>
    <x v="16"/>
    <x v="13"/>
    <x v="54"/>
    <x v="122"/>
    <x v="127"/>
    <x v="135"/>
    <x v="47"/>
    <x v="119"/>
    <x v="0"/>
    <x v="0"/>
  </r>
  <r>
    <x v="7"/>
    <x v="0"/>
    <x v="0"/>
    <x v="2"/>
    <x v="7"/>
    <x v="7"/>
    <x v="15"/>
    <x v="15"/>
    <x v="15"/>
    <x v="15"/>
    <x v="14"/>
    <x v="70"/>
    <x v="123"/>
    <x v="89"/>
    <x v="68"/>
    <x v="76"/>
    <x v="120"/>
    <x v="0"/>
    <x v="0"/>
  </r>
  <r>
    <x v="7"/>
    <x v="0"/>
    <x v="0"/>
    <x v="2"/>
    <x v="7"/>
    <x v="7"/>
    <x v="3"/>
    <x v="3"/>
    <x v="3"/>
    <x v="3"/>
    <x v="14"/>
    <x v="70"/>
    <x v="123"/>
    <x v="59"/>
    <x v="136"/>
    <x v="65"/>
    <x v="34"/>
    <x v="0"/>
    <x v="0"/>
  </r>
  <r>
    <x v="7"/>
    <x v="0"/>
    <x v="0"/>
    <x v="2"/>
    <x v="7"/>
    <x v="7"/>
    <x v="13"/>
    <x v="13"/>
    <x v="13"/>
    <x v="13"/>
    <x v="16"/>
    <x v="73"/>
    <x v="110"/>
    <x v="75"/>
    <x v="137"/>
    <x v="45"/>
    <x v="53"/>
    <x v="0"/>
    <x v="0"/>
  </r>
  <r>
    <x v="7"/>
    <x v="0"/>
    <x v="0"/>
    <x v="2"/>
    <x v="7"/>
    <x v="7"/>
    <x v="25"/>
    <x v="25"/>
    <x v="25"/>
    <x v="25"/>
    <x v="17"/>
    <x v="99"/>
    <x v="124"/>
    <x v="115"/>
    <x v="50"/>
    <x v="50"/>
    <x v="121"/>
    <x v="0"/>
    <x v="0"/>
  </r>
  <r>
    <x v="7"/>
    <x v="0"/>
    <x v="0"/>
    <x v="2"/>
    <x v="7"/>
    <x v="7"/>
    <x v="21"/>
    <x v="21"/>
    <x v="21"/>
    <x v="21"/>
    <x v="17"/>
    <x v="99"/>
    <x v="124"/>
    <x v="126"/>
    <x v="116"/>
    <x v="56"/>
    <x v="79"/>
    <x v="0"/>
    <x v="0"/>
  </r>
  <r>
    <x v="7"/>
    <x v="0"/>
    <x v="0"/>
    <x v="2"/>
    <x v="7"/>
    <x v="7"/>
    <x v="20"/>
    <x v="20"/>
    <x v="20"/>
    <x v="20"/>
    <x v="19"/>
    <x v="121"/>
    <x v="33"/>
    <x v="48"/>
    <x v="45"/>
    <x v="76"/>
    <x v="120"/>
    <x v="1"/>
    <x v="14"/>
  </r>
  <r>
    <x v="8"/>
    <x v="0"/>
    <x v="0"/>
    <x v="2"/>
    <x v="8"/>
    <x v="8"/>
    <x v="0"/>
    <x v="0"/>
    <x v="0"/>
    <x v="0"/>
    <x v="0"/>
    <x v="122"/>
    <x v="125"/>
    <x v="128"/>
    <x v="138"/>
    <x v="67"/>
    <x v="122"/>
    <x v="0"/>
    <x v="0"/>
  </r>
  <r>
    <x v="8"/>
    <x v="0"/>
    <x v="0"/>
    <x v="2"/>
    <x v="8"/>
    <x v="8"/>
    <x v="5"/>
    <x v="5"/>
    <x v="5"/>
    <x v="5"/>
    <x v="1"/>
    <x v="123"/>
    <x v="126"/>
    <x v="129"/>
    <x v="139"/>
    <x v="72"/>
    <x v="123"/>
    <x v="5"/>
    <x v="12"/>
  </r>
  <r>
    <x v="8"/>
    <x v="0"/>
    <x v="0"/>
    <x v="2"/>
    <x v="8"/>
    <x v="8"/>
    <x v="1"/>
    <x v="1"/>
    <x v="1"/>
    <x v="1"/>
    <x v="2"/>
    <x v="65"/>
    <x v="61"/>
    <x v="113"/>
    <x v="140"/>
    <x v="3"/>
    <x v="124"/>
    <x v="0"/>
    <x v="0"/>
  </r>
  <r>
    <x v="8"/>
    <x v="0"/>
    <x v="0"/>
    <x v="2"/>
    <x v="8"/>
    <x v="8"/>
    <x v="2"/>
    <x v="2"/>
    <x v="2"/>
    <x v="2"/>
    <x v="3"/>
    <x v="66"/>
    <x v="127"/>
    <x v="130"/>
    <x v="141"/>
    <x v="83"/>
    <x v="125"/>
    <x v="0"/>
    <x v="0"/>
  </r>
  <r>
    <x v="8"/>
    <x v="0"/>
    <x v="0"/>
    <x v="2"/>
    <x v="8"/>
    <x v="8"/>
    <x v="9"/>
    <x v="9"/>
    <x v="9"/>
    <x v="9"/>
    <x v="4"/>
    <x v="50"/>
    <x v="128"/>
    <x v="131"/>
    <x v="142"/>
    <x v="85"/>
    <x v="126"/>
    <x v="0"/>
    <x v="0"/>
  </r>
  <r>
    <x v="8"/>
    <x v="0"/>
    <x v="0"/>
    <x v="2"/>
    <x v="8"/>
    <x v="8"/>
    <x v="6"/>
    <x v="6"/>
    <x v="6"/>
    <x v="6"/>
    <x v="5"/>
    <x v="68"/>
    <x v="3"/>
    <x v="131"/>
    <x v="142"/>
    <x v="60"/>
    <x v="127"/>
    <x v="0"/>
    <x v="0"/>
  </r>
  <r>
    <x v="8"/>
    <x v="0"/>
    <x v="0"/>
    <x v="2"/>
    <x v="8"/>
    <x v="8"/>
    <x v="4"/>
    <x v="4"/>
    <x v="4"/>
    <x v="4"/>
    <x v="6"/>
    <x v="96"/>
    <x v="129"/>
    <x v="34"/>
    <x v="29"/>
    <x v="67"/>
    <x v="122"/>
    <x v="0"/>
    <x v="0"/>
  </r>
  <r>
    <x v="8"/>
    <x v="0"/>
    <x v="0"/>
    <x v="2"/>
    <x v="8"/>
    <x v="8"/>
    <x v="16"/>
    <x v="16"/>
    <x v="16"/>
    <x v="16"/>
    <x v="7"/>
    <x v="51"/>
    <x v="130"/>
    <x v="102"/>
    <x v="82"/>
    <x v="79"/>
    <x v="48"/>
    <x v="0"/>
    <x v="0"/>
  </r>
  <r>
    <x v="8"/>
    <x v="0"/>
    <x v="0"/>
    <x v="2"/>
    <x v="8"/>
    <x v="8"/>
    <x v="13"/>
    <x v="13"/>
    <x v="13"/>
    <x v="13"/>
    <x v="8"/>
    <x v="105"/>
    <x v="131"/>
    <x v="55"/>
    <x v="143"/>
    <x v="43"/>
    <x v="128"/>
    <x v="0"/>
    <x v="0"/>
  </r>
  <r>
    <x v="8"/>
    <x v="0"/>
    <x v="0"/>
    <x v="2"/>
    <x v="8"/>
    <x v="8"/>
    <x v="10"/>
    <x v="10"/>
    <x v="10"/>
    <x v="10"/>
    <x v="9"/>
    <x v="54"/>
    <x v="79"/>
    <x v="132"/>
    <x v="144"/>
    <x v="68"/>
    <x v="129"/>
    <x v="0"/>
    <x v="0"/>
  </r>
  <r>
    <x v="8"/>
    <x v="0"/>
    <x v="0"/>
    <x v="2"/>
    <x v="8"/>
    <x v="8"/>
    <x v="7"/>
    <x v="7"/>
    <x v="7"/>
    <x v="7"/>
    <x v="10"/>
    <x v="57"/>
    <x v="80"/>
    <x v="126"/>
    <x v="145"/>
    <x v="79"/>
    <x v="48"/>
    <x v="0"/>
    <x v="0"/>
  </r>
  <r>
    <x v="8"/>
    <x v="0"/>
    <x v="0"/>
    <x v="2"/>
    <x v="8"/>
    <x v="8"/>
    <x v="25"/>
    <x v="25"/>
    <x v="25"/>
    <x v="25"/>
    <x v="11"/>
    <x v="70"/>
    <x v="122"/>
    <x v="76"/>
    <x v="146"/>
    <x v="20"/>
    <x v="130"/>
    <x v="0"/>
    <x v="0"/>
  </r>
  <r>
    <x v="8"/>
    <x v="0"/>
    <x v="0"/>
    <x v="2"/>
    <x v="8"/>
    <x v="8"/>
    <x v="35"/>
    <x v="35"/>
    <x v="35"/>
    <x v="35"/>
    <x v="12"/>
    <x v="73"/>
    <x v="132"/>
    <x v="91"/>
    <x v="147"/>
    <x v="78"/>
    <x v="52"/>
    <x v="0"/>
    <x v="0"/>
  </r>
  <r>
    <x v="8"/>
    <x v="0"/>
    <x v="0"/>
    <x v="2"/>
    <x v="8"/>
    <x v="8"/>
    <x v="8"/>
    <x v="8"/>
    <x v="8"/>
    <x v="8"/>
    <x v="12"/>
    <x v="73"/>
    <x v="132"/>
    <x v="92"/>
    <x v="136"/>
    <x v="85"/>
    <x v="126"/>
    <x v="0"/>
    <x v="0"/>
  </r>
  <r>
    <x v="8"/>
    <x v="0"/>
    <x v="0"/>
    <x v="2"/>
    <x v="8"/>
    <x v="8"/>
    <x v="14"/>
    <x v="14"/>
    <x v="14"/>
    <x v="14"/>
    <x v="12"/>
    <x v="73"/>
    <x v="132"/>
    <x v="114"/>
    <x v="148"/>
    <x v="51"/>
    <x v="41"/>
    <x v="0"/>
    <x v="0"/>
  </r>
  <r>
    <x v="8"/>
    <x v="0"/>
    <x v="0"/>
    <x v="2"/>
    <x v="8"/>
    <x v="8"/>
    <x v="11"/>
    <x v="11"/>
    <x v="11"/>
    <x v="11"/>
    <x v="15"/>
    <x v="121"/>
    <x v="109"/>
    <x v="56"/>
    <x v="149"/>
    <x v="51"/>
    <x v="41"/>
    <x v="0"/>
    <x v="0"/>
  </r>
  <r>
    <x v="8"/>
    <x v="0"/>
    <x v="0"/>
    <x v="2"/>
    <x v="8"/>
    <x v="8"/>
    <x v="17"/>
    <x v="17"/>
    <x v="17"/>
    <x v="17"/>
    <x v="16"/>
    <x v="74"/>
    <x v="110"/>
    <x v="133"/>
    <x v="51"/>
    <x v="68"/>
    <x v="129"/>
    <x v="0"/>
    <x v="0"/>
  </r>
  <r>
    <x v="8"/>
    <x v="0"/>
    <x v="0"/>
    <x v="2"/>
    <x v="8"/>
    <x v="8"/>
    <x v="20"/>
    <x v="20"/>
    <x v="20"/>
    <x v="20"/>
    <x v="17"/>
    <x v="124"/>
    <x v="124"/>
    <x v="72"/>
    <x v="150"/>
    <x v="86"/>
    <x v="131"/>
    <x v="0"/>
    <x v="0"/>
  </r>
  <r>
    <x v="8"/>
    <x v="0"/>
    <x v="0"/>
    <x v="2"/>
    <x v="8"/>
    <x v="8"/>
    <x v="36"/>
    <x v="36"/>
    <x v="36"/>
    <x v="36"/>
    <x v="18"/>
    <x v="107"/>
    <x v="133"/>
    <x v="134"/>
    <x v="151"/>
    <x v="55"/>
    <x v="132"/>
    <x v="0"/>
    <x v="0"/>
  </r>
  <r>
    <x v="8"/>
    <x v="0"/>
    <x v="0"/>
    <x v="2"/>
    <x v="8"/>
    <x v="8"/>
    <x v="3"/>
    <x v="3"/>
    <x v="3"/>
    <x v="3"/>
    <x v="19"/>
    <x v="111"/>
    <x v="16"/>
    <x v="53"/>
    <x v="152"/>
    <x v="61"/>
    <x v="62"/>
    <x v="0"/>
    <x v="0"/>
  </r>
  <r>
    <x v="9"/>
    <x v="0"/>
    <x v="0"/>
    <x v="2"/>
    <x v="9"/>
    <x v="9"/>
    <x v="3"/>
    <x v="3"/>
    <x v="3"/>
    <x v="3"/>
    <x v="0"/>
    <x v="125"/>
    <x v="134"/>
    <x v="135"/>
    <x v="153"/>
    <x v="62"/>
    <x v="133"/>
    <x v="0"/>
    <x v="0"/>
  </r>
  <r>
    <x v="9"/>
    <x v="0"/>
    <x v="0"/>
    <x v="2"/>
    <x v="9"/>
    <x v="9"/>
    <x v="7"/>
    <x v="7"/>
    <x v="7"/>
    <x v="7"/>
    <x v="1"/>
    <x v="126"/>
    <x v="135"/>
    <x v="136"/>
    <x v="154"/>
    <x v="89"/>
    <x v="128"/>
    <x v="0"/>
    <x v="0"/>
  </r>
  <r>
    <x v="9"/>
    <x v="0"/>
    <x v="0"/>
    <x v="2"/>
    <x v="9"/>
    <x v="9"/>
    <x v="8"/>
    <x v="8"/>
    <x v="8"/>
    <x v="8"/>
    <x v="2"/>
    <x v="127"/>
    <x v="136"/>
    <x v="137"/>
    <x v="59"/>
    <x v="90"/>
    <x v="134"/>
    <x v="0"/>
    <x v="0"/>
  </r>
  <r>
    <x v="9"/>
    <x v="0"/>
    <x v="0"/>
    <x v="2"/>
    <x v="9"/>
    <x v="9"/>
    <x v="11"/>
    <x v="11"/>
    <x v="11"/>
    <x v="11"/>
    <x v="3"/>
    <x v="128"/>
    <x v="137"/>
    <x v="138"/>
    <x v="143"/>
    <x v="91"/>
    <x v="135"/>
    <x v="0"/>
    <x v="0"/>
  </r>
  <r>
    <x v="9"/>
    <x v="0"/>
    <x v="0"/>
    <x v="2"/>
    <x v="9"/>
    <x v="9"/>
    <x v="1"/>
    <x v="1"/>
    <x v="1"/>
    <x v="1"/>
    <x v="4"/>
    <x v="129"/>
    <x v="138"/>
    <x v="139"/>
    <x v="155"/>
    <x v="92"/>
    <x v="136"/>
    <x v="0"/>
    <x v="0"/>
  </r>
  <r>
    <x v="9"/>
    <x v="0"/>
    <x v="0"/>
    <x v="2"/>
    <x v="9"/>
    <x v="9"/>
    <x v="2"/>
    <x v="2"/>
    <x v="2"/>
    <x v="2"/>
    <x v="4"/>
    <x v="129"/>
    <x v="138"/>
    <x v="140"/>
    <x v="156"/>
    <x v="93"/>
    <x v="66"/>
    <x v="0"/>
    <x v="0"/>
  </r>
  <r>
    <x v="9"/>
    <x v="0"/>
    <x v="0"/>
    <x v="2"/>
    <x v="9"/>
    <x v="9"/>
    <x v="4"/>
    <x v="4"/>
    <x v="4"/>
    <x v="4"/>
    <x v="6"/>
    <x v="130"/>
    <x v="139"/>
    <x v="141"/>
    <x v="25"/>
    <x v="94"/>
    <x v="137"/>
    <x v="0"/>
    <x v="0"/>
  </r>
  <r>
    <x v="9"/>
    <x v="0"/>
    <x v="0"/>
    <x v="2"/>
    <x v="9"/>
    <x v="9"/>
    <x v="0"/>
    <x v="0"/>
    <x v="0"/>
    <x v="0"/>
    <x v="7"/>
    <x v="131"/>
    <x v="24"/>
    <x v="142"/>
    <x v="157"/>
    <x v="95"/>
    <x v="121"/>
    <x v="0"/>
    <x v="0"/>
  </r>
  <r>
    <x v="9"/>
    <x v="0"/>
    <x v="0"/>
    <x v="2"/>
    <x v="9"/>
    <x v="9"/>
    <x v="37"/>
    <x v="37"/>
    <x v="37"/>
    <x v="37"/>
    <x v="8"/>
    <x v="132"/>
    <x v="140"/>
    <x v="38"/>
    <x v="158"/>
    <x v="83"/>
    <x v="68"/>
    <x v="0"/>
    <x v="0"/>
  </r>
  <r>
    <x v="9"/>
    <x v="0"/>
    <x v="0"/>
    <x v="2"/>
    <x v="9"/>
    <x v="9"/>
    <x v="24"/>
    <x v="24"/>
    <x v="24"/>
    <x v="24"/>
    <x v="9"/>
    <x v="133"/>
    <x v="108"/>
    <x v="44"/>
    <x v="28"/>
    <x v="96"/>
    <x v="138"/>
    <x v="0"/>
    <x v="0"/>
  </r>
  <r>
    <x v="9"/>
    <x v="0"/>
    <x v="0"/>
    <x v="2"/>
    <x v="9"/>
    <x v="9"/>
    <x v="38"/>
    <x v="38"/>
    <x v="38"/>
    <x v="38"/>
    <x v="10"/>
    <x v="134"/>
    <x v="80"/>
    <x v="143"/>
    <x v="159"/>
    <x v="59"/>
    <x v="139"/>
    <x v="0"/>
    <x v="0"/>
  </r>
  <r>
    <x v="9"/>
    <x v="0"/>
    <x v="0"/>
    <x v="2"/>
    <x v="9"/>
    <x v="9"/>
    <x v="9"/>
    <x v="9"/>
    <x v="9"/>
    <x v="9"/>
    <x v="11"/>
    <x v="76"/>
    <x v="141"/>
    <x v="144"/>
    <x v="160"/>
    <x v="76"/>
    <x v="82"/>
    <x v="0"/>
    <x v="0"/>
  </r>
  <r>
    <x v="9"/>
    <x v="0"/>
    <x v="0"/>
    <x v="2"/>
    <x v="9"/>
    <x v="9"/>
    <x v="22"/>
    <x v="22"/>
    <x v="22"/>
    <x v="22"/>
    <x v="12"/>
    <x v="135"/>
    <x v="10"/>
    <x v="145"/>
    <x v="161"/>
    <x v="97"/>
    <x v="140"/>
    <x v="0"/>
    <x v="0"/>
  </r>
  <r>
    <x v="9"/>
    <x v="0"/>
    <x v="0"/>
    <x v="2"/>
    <x v="9"/>
    <x v="9"/>
    <x v="26"/>
    <x v="26"/>
    <x v="26"/>
    <x v="26"/>
    <x v="13"/>
    <x v="136"/>
    <x v="132"/>
    <x v="88"/>
    <x v="162"/>
    <x v="96"/>
    <x v="138"/>
    <x v="0"/>
    <x v="0"/>
  </r>
  <r>
    <x v="9"/>
    <x v="0"/>
    <x v="0"/>
    <x v="2"/>
    <x v="9"/>
    <x v="9"/>
    <x v="15"/>
    <x v="15"/>
    <x v="15"/>
    <x v="15"/>
    <x v="14"/>
    <x v="137"/>
    <x v="109"/>
    <x v="73"/>
    <x v="34"/>
    <x v="98"/>
    <x v="141"/>
    <x v="0"/>
    <x v="0"/>
  </r>
  <r>
    <x v="9"/>
    <x v="0"/>
    <x v="0"/>
    <x v="2"/>
    <x v="9"/>
    <x v="9"/>
    <x v="5"/>
    <x v="5"/>
    <x v="5"/>
    <x v="5"/>
    <x v="15"/>
    <x v="138"/>
    <x v="142"/>
    <x v="62"/>
    <x v="163"/>
    <x v="84"/>
    <x v="81"/>
    <x v="5"/>
    <x v="15"/>
  </r>
  <r>
    <x v="9"/>
    <x v="0"/>
    <x v="0"/>
    <x v="2"/>
    <x v="9"/>
    <x v="9"/>
    <x v="39"/>
    <x v="39"/>
    <x v="39"/>
    <x v="39"/>
    <x v="16"/>
    <x v="139"/>
    <x v="112"/>
    <x v="146"/>
    <x v="164"/>
    <x v="99"/>
    <x v="142"/>
    <x v="0"/>
    <x v="0"/>
  </r>
  <r>
    <x v="9"/>
    <x v="0"/>
    <x v="0"/>
    <x v="2"/>
    <x v="9"/>
    <x v="9"/>
    <x v="20"/>
    <x v="20"/>
    <x v="20"/>
    <x v="20"/>
    <x v="17"/>
    <x v="59"/>
    <x v="143"/>
    <x v="114"/>
    <x v="165"/>
    <x v="100"/>
    <x v="143"/>
    <x v="9"/>
    <x v="16"/>
  </r>
  <r>
    <x v="9"/>
    <x v="0"/>
    <x v="0"/>
    <x v="2"/>
    <x v="9"/>
    <x v="9"/>
    <x v="12"/>
    <x v="12"/>
    <x v="12"/>
    <x v="12"/>
    <x v="18"/>
    <x v="140"/>
    <x v="56"/>
    <x v="70"/>
    <x v="166"/>
    <x v="57"/>
    <x v="144"/>
    <x v="0"/>
    <x v="0"/>
  </r>
  <r>
    <x v="9"/>
    <x v="0"/>
    <x v="0"/>
    <x v="2"/>
    <x v="9"/>
    <x v="9"/>
    <x v="40"/>
    <x v="40"/>
    <x v="40"/>
    <x v="40"/>
    <x v="19"/>
    <x v="141"/>
    <x v="144"/>
    <x v="147"/>
    <x v="15"/>
    <x v="54"/>
    <x v="145"/>
    <x v="0"/>
    <x v="0"/>
  </r>
  <r>
    <x v="10"/>
    <x v="0"/>
    <x v="0"/>
    <x v="2"/>
    <x v="10"/>
    <x v="10"/>
    <x v="1"/>
    <x v="1"/>
    <x v="1"/>
    <x v="1"/>
    <x v="0"/>
    <x v="142"/>
    <x v="58"/>
    <x v="67"/>
    <x v="167"/>
    <x v="101"/>
    <x v="146"/>
    <x v="0"/>
    <x v="0"/>
  </r>
  <r>
    <x v="10"/>
    <x v="0"/>
    <x v="0"/>
    <x v="2"/>
    <x v="10"/>
    <x v="10"/>
    <x v="0"/>
    <x v="0"/>
    <x v="0"/>
    <x v="0"/>
    <x v="1"/>
    <x v="62"/>
    <x v="145"/>
    <x v="148"/>
    <x v="168"/>
    <x v="75"/>
    <x v="147"/>
    <x v="0"/>
    <x v="0"/>
  </r>
  <r>
    <x v="10"/>
    <x v="0"/>
    <x v="0"/>
    <x v="2"/>
    <x v="10"/>
    <x v="10"/>
    <x v="13"/>
    <x v="13"/>
    <x v="13"/>
    <x v="13"/>
    <x v="2"/>
    <x v="63"/>
    <x v="146"/>
    <x v="102"/>
    <x v="169"/>
    <x v="77"/>
    <x v="148"/>
    <x v="0"/>
    <x v="0"/>
  </r>
  <r>
    <x v="10"/>
    <x v="0"/>
    <x v="0"/>
    <x v="2"/>
    <x v="10"/>
    <x v="10"/>
    <x v="5"/>
    <x v="5"/>
    <x v="5"/>
    <x v="5"/>
    <x v="3"/>
    <x v="93"/>
    <x v="147"/>
    <x v="149"/>
    <x v="2"/>
    <x v="71"/>
    <x v="7"/>
    <x v="0"/>
    <x v="0"/>
  </r>
  <r>
    <x v="10"/>
    <x v="0"/>
    <x v="0"/>
    <x v="2"/>
    <x v="10"/>
    <x v="10"/>
    <x v="41"/>
    <x v="41"/>
    <x v="41"/>
    <x v="41"/>
    <x v="4"/>
    <x v="143"/>
    <x v="148"/>
    <x v="111"/>
    <x v="170"/>
    <x v="69"/>
    <x v="149"/>
    <x v="0"/>
    <x v="0"/>
  </r>
  <r>
    <x v="10"/>
    <x v="0"/>
    <x v="0"/>
    <x v="2"/>
    <x v="10"/>
    <x v="10"/>
    <x v="6"/>
    <x v="6"/>
    <x v="6"/>
    <x v="6"/>
    <x v="5"/>
    <x v="85"/>
    <x v="78"/>
    <x v="87"/>
    <x v="171"/>
    <x v="79"/>
    <x v="9"/>
    <x v="0"/>
    <x v="0"/>
  </r>
  <r>
    <x v="10"/>
    <x v="0"/>
    <x v="0"/>
    <x v="2"/>
    <x v="10"/>
    <x v="10"/>
    <x v="2"/>
    <x v="2"/>
    <x v="2"/>
    <x v="2"/>
    <x v="6"/>
    <x v="144"/>
    <x v="149"/>
    <x v="52"/>
    <x v="172"/>
    <x v="56"/>
    <x v="34"/>
    <x v="0"/>
    <x v="0"/>
  </r>
  <r>
    <x v="10"/>
    <x v="0"/>
    <x v="0"/>
    <x v="2"/>
    <x v="10"/>
    <x v="10"/>
    <x v="10"/>
    <x v="10"/>
    <x v="10"/>
    <x v="10"/>
    <x v="7"/>
    <x v="96"/>
    <x v="108"/>
    <x v="132"/>
    <x v="92"/>
    <x v="66"/>
    <x v="150"/>
    <x v="0"/>
    <x v="0"/>
  </r>
  <r>
    <x v="10"/>
    <x v="0"/>
    <x v="0"/>
    <x v="2"/>
    <x v="10"/>
    <x v="10"/>
    <x v="9"/>
    <x v="9"/>
    <x v="9"/>
    <x v="9"/>
    <x v="8"/>
    <x v="53"/>
    <x v="150"/>
    <x v="111"/>
    <x v="170"/>
    <x v="60"/>
    <x v="151"/>
    <x v="0"/>
    <x v="0"/>
  </r>
  <r>
    <x v="10"/>
    <x v="0"/>
    <x v="0"/>
    <x v="2"/>
    <x v="10"/>
    <x v="10"/>
    <x v="17"/>
    <x v="17"/>
    <x v="17"/>
    <x v="17"/>
    <x v="9"/>
    <x v="105"/>
    <x v="9"/>
    <x v="74"/>
    <x v="173"/>
    <x v="102"/>
    <x v="152"/>
    <x v="0"/>
    <x v="0"/>
  </r>
  <r>
    <x v="10"/>
    <x v="0"/>
    <x v="0"/>
    <x v="2"/>
    <x v="10"/>
    <x v="10"/>
    <x v="16"/>
    <x v="16"/>
    <x v="16"/>
    <x v="16"/>
    <x v="10"/>
    <x v="54"/>
    <x v="81"/>
    <x v="110"/>
    <x v="174"/>
    <x v="44"/>
    <x v="153"/>
    <x v="0"/>
    <x v="0"/>
  </r>
  <r>
    <x v="10"/>
    <x v="0"/>
    <x v="0"/>
    <x v="2"/>
    <x v="10"/>
    <x v="10"/>
    <x v="4"/>
    <x v="4"/>
    <x v="4"/>
    <x v="4"/>
    <x v="11"/>
    <x v="55"/>
    <x v="123"/>
    <x v="115"/>
    <x v="175"/>
    <x v="103"/>
    <x v="154"/>
    <x v="0"/>
    <x v="0"/>
  </r>
  <r>
    <x v="10"/>
    <x v="0"/>
    <x v="0"/>
    <x v="2"/>
    <x v="10"/>
    <x v="10"/>
    <x v="28"/>
    <x v="28"/>
    <x v="28"/>
    <x v="28"/>
    <x v="12"/>
    <x v="145"/>
    <x v="142"/>
    <x v="114"/>
    <x v="176"/>
    <x v="49"/>
    <x v="155"/>
    <x v="0"/>
    <x v="0"/>
  </r>
  <r>
    <x v="10"/>
    <x v="0"/>
    <x v="0"/>
    <x v="2"/>
    <x v="10"/>
    <x v="10"/>
    <x v="22"/>
    <x v="22"/>
    <x v="22"/>
    <x v="22"/>
    <x v="12"/>
    <x v="145"/>
    <x v="142"/>
    <x v="54"/>
    <x v="177"/>
    <x v="104"/>
    <x v="156"/>
    <x v="0"/>
    <x v="0"/>
  </r>
  <r>
    <x v="10"/>
    <x v="0"/>
    <x v="0"/>
    <x v="2"/>
    <x v="10"/>
    <x v="10"/>
    <x v="35"/>
    <x v="35"/>
    <x v="35"/>
    <x v="35"/>
    <x v="14"/>
    <x v="98"/>
    <x v="151"/>
    <x v="56"/>
    <x v="178"/>
    <x v="78"/>
    <x v="157"/>
    <x v="0"/>
    <x v="0"/>
  </r>
  <r>
    <x v="10"/>
    <x v="0"/>
    <x v="0"/>
    <x v="2"/>
    <x v="10"/>
    <x v="10"/>
    <x v="20"/>
    <x v="20"/>
    <x v="20"/>
    <x v="20"/>
    <x v="14"/>
    <x v="98"/>
    <x v="151"/>
    <x v="150"/>
    <x v="179"/>
    <x v="66"/>
    <x v="150"/>
    <x v="0"/>
    <x v="0"/>
  </r>
  <r>
    <x v="10"/>
    <x v="0"/>
    <x v="0"/>
    <x v="2"/>
    <x v="10"/>
    <x v="10"/>
    <x v="7"/>
    <x v="7"/>
    <x v="7"/>
    <x v="7"/>
    <x v="14"/>
    <x v="98"/>
    <x v="151"/>
    <x v="127"/>
    <x v="180"/>
    <x v="83"/>
    <x v="127"/>
    <x v="0"/>
    <x v="0"/>
  </r>
  <r>
    <x v="10"/>
    <x v="0"/>
    <x v="0"/>
    <x v="2"/>
    <x v="10"/>
    <x v="10"/>
    <x v="19"/>
    <x v="19"/>
    <x v="19"/>
    <x v="19"/>
    <x v="17"/>
    <x v="72"/>
    <x v="13"/>
    <x v="151"/>
    <x v="181"/>
    <x v="49"/>
    <x v="155"/>
    <x v="0"/>
    <x v="0"/>
  </r>
  <r>
    <x v="10"/>
    <x v="0"/>
    <x v="0"/>
    <x v="2"/>
    <x v="10"/>
    <x v="10"/>
    <x v="11"/>
    <x v="11"/>
    <x v="11"/>
    <x v="11"/>
    <x v="18"/>
    <x v="74"/>
    <x v="55"/>
    <x v="107"/>
    <x v="182"/>
    <x v="20"/>
    <x v="30"/>
    <x v="0"/>
    <x v="0"/>
  </r>
  <r>
    <x v="10"/>
    <x v="0"/>
    <x v="0"/>
    <x v="2"/>
    <x v="10"/>
    <x v="10"/>
    <x v="14"/>
    <x v="14"/>
    <x v="14"/>
    <x v="14"/>
    <x v="18"/>
    <x v="74"/>
    <x v="55"/>
    <x v="93"/>
    <x v="183"/>
    <x v="105"/>
    <x v="158"/>
    <x v="0"/>
    <x v="0"/>
  </r>
  <r>
    <x v="11"/>
    <x v="0"/>
    <x v="0"/>
    <x v="3"/>
    <x v="11"/>
    <x v="11"/>
    <x v="0"/>
    <x v="0"/>
    <x v="0"/>
    <x v="0"/>
    <x v="0"/>
    <x v="146"/>
    <x v="152"/>
    <x v="152"/>
    <x v="184"/>
    <x v="3"/>
    <x v="110"/>
    <x v="0"/>
    <x v="0"/>
  </r>
  <r>
    <x v="11"/>
    <x v="0"/>
    <x v="0"/>
    <x v="3"/>
    <x v="11"/>
    <x v="11"/>
    <x v="3"/>
    <x v="3"/>
    <x v="3"/>
    <x v="3"/>
    <x v="1"/>
    <x v="147"/>
    <x v="153"/>
    <x v="153"/>
    <x v="185"/>
    <x v="60"/>
    <x v="159"/>
    <x v="0"/>
    <x v="0"/>
  </r>
  <r>
    <x v="11"/>
    <x v="0"/>
    <x v="0"/>
    <x v="3"/>
    <x v="11"/>
    <x v="11"/>
    <x v="1"/>
    <x v="1"/>
    <x v="1"/>
    <x v="1"/>
    <x v="2"/>
    <x v="36"/>
    <x v="22"/>
    <x v="154"/>
    <x v="186"/>
    <x v="106"/>
    <x v="160"/>
    <x v="0"/>
    <x v="0"/>
  </r>
  <r>
    <x v="11"/>
    <x v="0"/>
    <x v="0"/>
    <x v="3"/>
    <x v="11"/>
    <x v="11"/>
    <x v="2"/>
    <x v="2"/>
    <x v="2"/>
    <x v="2"/>
    <x v="3"/>
    <x v="148"/>
    <x v="154"/>
    <x v="155"/>
    <x v="187"/>
    <x v="53"/>
    <x v="112"/>
    <x v="0"/>
    <x v="0"/>
  </r>
  <r>
    <x v="11"/>
    <x v="0"/>
    <x v="0"/>
    <x v="3"/>
    <x v="11"/>
    <x v="11"/>
    <x v="4"/>
    <x v="4"/>
    <x v="4"/>
    <x v="4"/>
    <x v="4"/>
    <x v="149"/>
    <x v="63"/>
    <x v="156"/>
    <x v="8"/>
    <x v="107"/>
    <x v="161"/>
    <x v="0"/>
    <x v="0"/>
  </r>
  <r>
    <x v="11"/>
    <x v="0"/>
    <x v="0"/>
    <x v="3"/>
    <x v="11"/>
    <x v="11"/>
    <x v="6"/>
    <x v="6"/>
    <x v="6"/>
    <x v="6"/>
    <x v="5"/>
    <x v="150"/>
    <x v="155"/>
    <x v="157"/>
    <x v="188"/>
    <x v="79"/>
    <x v="162"/>
    <x v="0"/>
    <x v="0"/>
  </r>
  <r>
    <x v="11"/>
    <x v="0"/>
    <x v="0"/>
    <x v="3"/>
    <x v="11"/>
    <x v="11"/>
    <x v="5"/>
    <x v="5"/>
    <x v="5"/>
    <x v="5"/>
    <x v="6"/>
    <x v="151"/>
    <x v="66"/>
    <x v="158"/>
    <x v="83"/>
    <x v="84"/>
    <x v="121"/>
    <x v="3"/>
    <x v="17"/>
  </r>
  <r>
    <x v="11"/>
    <x v="0"/>
    <x v="0"/>
    <x v="3"/>
    <x v="11"/>
    <x v="11"/>
    <x v="10"/>
    <x v="10"/>
    <x v="10"/>
    <x v="10"/>
    <x v="7"/>
    <x v="152"/>
    <x v="25"/>
    <x v="159"/>
    <x v="189"/>
    <x v="108"/>
    <x v="163"/>
    <x v="0"/>
    <x v="0"/>
  </r>
  <r>
    <x v="11"/>
    <x v="0"/>
    <x v="0"/>
    <x v="3"/>
    <x v="11"/>
    <x v="11"/>
    <x v="7"/>
    <x v="7"/>
    <x v="7"/>
    <x v="7"/>
    <x v="8"/>
    <x v="153"/>
    <x v="156"/>
    <x v="160"/>
    <x v="190"/>
    <x v="34"/>
    <x v="164"/>
    <x v="0"/>
    <x v="0"/>
  </r>
  <r>
    <x v="11"/>
    <x v="0"/>
    <x v="0"/>
    <x v="3"/>
    <x v="11"/>
    <x v="11"/>
    <x v="8"/>
    <x v="8"/>
    <x v="8"/>
    <x v="8"/>
    <x v="9"/>
    <x v="154"/>
    <x v="157"/>
    <x v="161"/>
    <x v="191"/>
    <x v="58"/>
    <x v="6"/>
    <x v="0"/>
    <x v="0"/>
  </r>
  <r>
    <x v="11"/>
    <x v="0"/>
    <x v="0"/>
    <x v="3"/>
    <x v="11"/>
    <x v="11"/>
    <x v="9"/>
    <x v="9"/>
    <x v="9"/>
    <x v="9"/>
    <x v="10"/>
    <x v="155"/>
    <x v="158"/>
    <x v="162"/>
    <x v="180"/>
    <x v="58"/>
    <x v="6"/>
    <x v="5"/>
    <x v="18"/>
  </r>
  <r>
    <x v="11"/>
    <x v="0"/>
    <x v="0"/>
    <x v="3"/>
    <x v="11"/>
    <x v="11"/>
    <x v="13"/>
    <x v="13"/>
    <x v="13"/>
    <x v="13"/>
    <x v="11"/>
    <x v="132"/>
    <x v="159"/>
    <x v="40"/>
    <x v="192"/>
    <x v="109"/>
    <x v="165"/>
    <x v="0"/>
    <x v="0"/>
  </r>
  <r>
    <x v="11"/>
    <x v="0"/>
    <x v="0"/>
    <x v="3"/>
    <x v="11"/>
    <x v="11"/>
    <x v="11"/>
    <x v="11"/>
    <x v="11"/>
    <x v="11"/>
    <x v="12"/>
    <x v="156"/>
    <x v="97"/>
    <x v="97"/>
    <x v="193"/>
    <x v="23"/>
    <x v="54"/>
    <x v="0"/>
    <x v="0"/>
  </r>
  <r>
    <x v="11"/>
    <x v="0"/>
    <x v="0"/>
    <x v="3"/>
    <x v="11"/>
    <x v="11"/>
    <x v="16"/>
    <x v="16"/>
    <x v="16"/>
    <x v="16"/>
    <x v="13"/>
    <x v="157"/>
    <x v="12"/>
    <x v="163"/>
    <x v="194"/>
    <x v="110"/>
    <x v="89"/>
    <x v="0"/>
    <x v="0"/>
  </r>
  <r>
    <x v="11"/>
    <x v="0"/>
    <x v="0"/>
    <x v="3"/>
    <x v="11"/>
    <x v="11"/>
    <x v="19"/>
    <x v="19"/>
    <x v="19"/>
    <x v="19"/>
    <x v="14"/>
    <x v="158"/>
    <x v="151"/>
    <x v="99"/>
    <x v="195"/>
    <x v="111"/>
    <x v="166"/>
    <x v="0"/>
    <x v="0"/>
  </r>
  <r>
    <x v="11"/>
    <x v="0"/>
    <x v="0"/>
    <x v="3"/>
    <x v="11"/>
    <x v="11"/>
    <x v="41"/>
    <x v="41"/>
    <x v="41"/>
    <x v="41"/>
    <x v="15"/>
    <x v="159"/>
    <x v="111"/>
    <x v="164"/>
    <x v="134"/>
    <x v="76"/>
    <x v="46"/>
    <x v="0"/>
    <x v="0"/>
  </r>
  <r>
    <x v="11"/>
    <x v="0"/>
    <x v="0"/>
    <x v="3"/>
    <x v="11"/>
    <x v="11"/>
    <x v="12"/>
    <x v="12"/>
    <x v="12"/>
    <x v="12"/>
    <x v="16"/>
    <x v="160"/>
    <x v="32"/>
    <x v="165"/>
    <x v="70"/>
    <x v="90"/>
    <x v="167"/>
    <x v="0"/>
    <x v="0"/>
  </r>
  <r>
    <x v="11"/>
    <x v="0"/>
    <x v="0"/>
    <x v="3"/>
    <x v="11"/>
    <x v="11"/>
    <x v="17"/>
    <x v="17"/>
    <x v="17"/>
    <x v="17"/>
    <x v="17"/>
    <x v="161"/>
    <x v="160"/>
    <x v="166"/>
    <x v="196"/>
    <x v="112"/>
    <x v="168"/>
    <x v="0"/>
    <x v="0"/>
  </r>
  <r>
    <x v="11"/>
    <x v="0"/>
    <x v="0"/>
    <x v="3"/>
    <x v="11"/>
    <x v="11"/>
    <x v="14"/>
    <x v="14"/>
    <x v="14"/>
    <x v="14"/>
    <x v="18"/>
    <x v="162"/>
    <x v="54"/>
    <x v="167"/>
    <x v="197"/>
    <x v="113"/>
    <x v="169"/>
    <x v="0"/>
    <x v="0"/>
  </r>
  <r>
    <x v="11"/>
    <x v="0"/>
    <x v="0"/>
    <x v="3"/>
    <x v="11"/>
    <x v="11"/>
    <x v="18"/>
    <x v="18"/>
    <x v="18"/>
    <x v="18"/>
    <x v="19"/>
    <x v="163"/>
    <x v="82"/>
    <x v="47"/>
    <x v="198"/>
    <x v="114"/>
    <x v="170"/>
    <x v="0"/>
    <x v="0"/>
  </r>
  <r>
    <x v="12"/>
    <x v="0"/>
    <x v="0"/>
    <x v="3"/>
    <x v="12"/>
    <x v="12"/>
    <x v="0"/>
    <x v="0"/>
    <x v="0"/>
    <x v="0"/>
    <x v="0"/>
    <x v="164"/>
    <x v="161"/>
    <x v="168"/>
    <x v="199"/>
    <x v="90"/>
    <x v="171"/>
    <x v="0"/>
    <x v="0"/>
  </r>
  <r>
    <x v="12"/>
    <x v="0"/>
    <x v="0"/>
    <x v="3"/>
    <x v="12"/>
    <x v="12"/>
    <x v="8"/>
    <x v="8"/>
    <x v="8"/>
    <x v="8"/>
    <x v="1"/>
    <x v="165"/>
    <x v="162"/>
    <x v="169"/>
    <x v="200"/>
    <x v="47"/>
    <x v="104"/>
    <x v="0"/>
    <x v="0"/>
  </r>
  <r>
    <x v="12"/>
    <x v="0"/>
    <x v="0"/>
    <x v="3"/>
    <x v="12"/>
    <x v="12"/>
    <x v="1"/>
    <x v="1"/>
    <x v="1"/>
    <x v="1"/>
    <x v="2"/>
    <x v="166"/>
    <x v="163"/>
    <x v="170"/>
    <x v="201"/>
    <x v="115"/>
    <x v="172"/>
    <x v="0"/>
    <x v="0"/>
  </r>
  <r>
    <x v="12"/>
    <x v="0"/>
    <x v="0"/>
    <x v="3"/>
    <x v="12"/>
    <x v="12"/>
    <x v="2"/>
    <x v="2"/>
    <x v="2"/>
    <x v="2"/>
    <x v="3"/>
    <x v="167"/>
    <x v="164"/>
    <x v="171"/>
    <x v="202"/>
    <x v="71"/>
    <x v="151"/>
    <x v="5"/>
    <x v="19"/>
  </r>
  <r>
    <x v="12"/>
    <x v="0"/>
    <x v="0"/>
    <x v="3"/>
    <x v="12"/>
    <x v="12"/>
    <x v="9"/>
    <x v="9"/>
    <x v="9"/>
    <x v="9"/>
    <x v="4"/>
    <x v="168"/>
    <x v="165"/>
    <x v="172"/>
    <x v="203"/>
    <x v="20"/>
    <x v="99"/>
    <x v="0"/>
    <x v="0"/>
  </r>
  <r>
    <x v="12"/>
    <x v="0"/>
    <x v="0"/>
    <x v="3"/>
    <x v="12"/>
    <x v="12"/>
    <x v="3"/>
    <x v="3"/>
    <x v="3"/>
    <x v="3"/>
    <x v="5"/>
    <x v="169"/>
    <x v="166"/>
    <x v="173"/>
    <x v="204"/>
    <x v="85"/>
    <x v="34"/>
    <x v="0"/>
    <x v="0"/>
  </r>
  <r>
    <x v="12"/>
    <x v="0"/>
    <x v="0"/>
    <x v="3"/>
    <x v="12"/>
    <x v="12"/>
    <x v="6"/>
    <x v="6"/>
    <x v="6"/>
    <x v="6"/>
    <x v="6"/>
    <x v="170"/>
    <x v="167"/>
    <x v="39"/>
    <x v="205"/>
    <x v="83"/>
    <x v="78"/>
    <x v="0"/>
    <x v="0"/>
  </r>
  <r>
    <x v="12"/>
    <x v="0"/>
    <x v="0"/>
    <x v="3"/>
    <x v="12"/>
    <x v="12"/>
    <x v="4"/>
    <x v="4"/>
    <x v="4"/>
    <x v="4"/>
    <x v="7"/>
    <x v="171"/>
    <x v="168"/>
    <x v="174"/>
    <x v="206"/>
    <x v="102"/>
    <x v="96"/>
    <x v="0"/>
    <x v="0"/>
  </r>
  <r>
    <x v="12"/>
    <x v="0"/>
    <x v="0"/>
    <x v="3"/>
    <x v="12"/>
    <x v="12"/>
    <x v="7"/>
    <x v="7"/>
    <x v="7"/>
    <x v="7"/>
    <x v="8"/>
    <x v="172"/>
    <x v="45"/>
    <x v="175"/>
    <x v="67"/>
    <x v="20"/>
    <x v="99"/>
    <x v="0"/>
    <x v="0"/>
  </r>
  <r>
    <x v="12"/>
    <x v="0"/>
    <x v="0"/>
    <x v="3"/>
    <x v="12"/>
    <x v="12"/>
    <x v="5"/>
    <x v="5"/>
    <x v="5"/>
    <x v="5"/>
    <x v="9"/>
    <x v="173"/>
    <x v="77"/>
    <x v="79"/>
    <x v="207"/>
    <x v="116"/>
    <x v="24"/>
    <x v="1"/>
    <x v="13"/>
  </r>
  <r>
    <x v="12"/>
    <x v="0"/>
    <x v="0"/>
    <x v="3"/>
    <x v="12"/>
    <x v="12"/>
    <x v="12"/>
    <x v="12"/>
    <x v="12"/>
    <x v="12"/>
    <x v="10"/>
    <x v="174"/>
    <x v="169"/>
    <x v="176"/>
    <x v="208"/>
    <x v="117"/>
    <x v="173"/>
    <x v="0"/>
    <x v="0"/>
  </r>
  <r>
    <x v="12"/>
    <x v="0"/>
    <x v="0"/>
    <x v="3"/>
    <x v="12"/>
    <x v="12"/>
    <x v="21"/>
    <x v="21"/>
    <x v="21"/>
    <x v="21"/>
    <x v="11"/>
    <x v="175"/>
    <x v="170"/>
    <x v="177"/>
    <x v="209"/>
    <x v="59"/>
    <x v="3"/>
    <x v="0"/>
    <x v="0"/>
  </r>
  <r>
    <x v="12"/>
    <x v="0"/>
    <x v="0"/>
    <x v="3"/>
    <x v="12"/>
    <x v="12"/>
    <x v="11"/>
    <x v="11"/>
    <x v="11"/>
    <x v="11"/>
    <x v="12"/>
    <x v="176"/>
    <x v="171"/>
    <x v="148"/>
    <x v="15"/>
    <x v="118"/>
    <x v="174"/>
    <x v="0"/>
    <x v="0"/>
  </r>
  <r>
    <x v="12"/>
    <x v="0"/>
    <x v="0"/>
    <x v="3"/>
    <x v="12"/>
    <x v="12"/>
    <x v="20"/>
    <x v="20"/>
    <x v="20"/>
    <x v="20"/>
    <x v="13"/>
    <x v="177"/>
    <x v="52"/>
    <x v="90"/>
    <x v="210"/>
    <x v="119"/>
    <x v="175"/>
    <x v="0"/>
    <x v="0"/>
  </r>
  <r>
    <x v="12"/>
    <x v="0"/>
    <x v="0"/>
    <x v="3"/>
    <x v="12"/>
    <x v="12"/>
    <x v="15"/>
    <x v="15"/>
    <x v="15"/>
    <x v="15"/>
    <x v="14"/>
    <x v="122"/>
    <x v="142"/>
    <x v="126"/>
    <x v="211"/>
    <x v="120"/>
    <x v="176"/>
    <x v="0"/>
    <x v="0"/>
  </r>
  <r>
    <x v="12"/>
    <x v="0"/>
    <x v="0"/>
    <x v="3"/>
    <x v="12"/>
    <x v="12"/>
    <x v="14"/>
    <x v="14"/>
    <x v="14"/>
    <x v="14"/>
    <x v="14"/>
    <x v="122"/>
    <x v="142"/>
    <x v="178"/>
    <x v="212"/>
    <x v="101"/>
    <x v="75"/>
    <x v="0"/>
    <x v="0"/>
  </r>
  <r>
    <x v="12"/>
    <x v="0"/>
    <x v="0"/>
    <x v="3"/>
    <x v="12"/>
    <x v="12"/>
    <x v="35"/>
    <x v="35"/>
    <x v="35"/>
    <x v="35"/>
    <x v="16"/>
    <x v="116"/>
    <x v="172"/>
    <x v="179"/>
    <x v="213"/>
    <x v="121"/>
    <x v="137"/>
    <x v="0"/>
    <x v="0"/>
  </r>
  <r>
    <x v="12"/>
    <x v="0"/>
    <x v="0"/>
    <x v="3"/>
    <x v="12"/>
    <x v="12"/>
    <x v="19"/>
    <x v="19"/>
    <x v="19"/>
    <x v="19"/>
    <x v="17"/>
    <x v="178"/>
    <x v="54"/>
    <x v="57"/>
    <x v="214"/>
    <x v="122"/>
    <x v="177"/>
    <x v="0"/>
    <x v="0"/>
  </r>
  <r>
    <x v="12"/>
    <x v="0"/>
    <x v="0"/>
    <x v="3"/>
    <x v="12"/>
    <x v="12"/>
    <x v="29"/>
    <x v="29"/>
    <x v="29"/>
    <x v="29"/>
    <x v="18"/>
    <x v="123"/>
    <x v="15"/>
    <x v="124"/>
    <x v="215"/>
    <x v="34"/>
    <x v="178"/>
    <x v="0"/>
    <x v="0"/>
  </r>
  <r>
    <x v="12"/>
    <x v="0"/>
    <x v="0"/>
    <x v="3"/>
    <x v="12"/>
    <x v="12"/>
    <x v="13"/>
    <x v="13"/>
    <x v="13"/>
    <x v="13"/>
    <x v="18"/>
    <x v="123"/>
    <x v="15"/>
    <x v="180"/>
    <x v="216"/>
    <x v="66"/>
    <x v="179"/>
    <x v="0"/>
    <x v="0"/>
  </r>
  <r>
    <x v="13"/>
    <x v="0"/>
    <x v="0"/>
    <x v="3"/>
    <x v="13"/>
    <x v="13"/>
    <x v="0"/>
    <x v="0"/>
    <x v="0"/>
    <x v="0"/>
    <x v="0"/>
    <x v="179"/>
    <x v="173"/>
    <x v="181"/>
    <x v="217"/>
    <x v="105"/>
    <x v="180"/>
    <x v="0"/>
    <x v="0"/>
  </r>
  <r>
    <x v="13"/>
    <x v="0"/>
    <x v="0"/>
    <x v="3"/>
    <x v="13"/>
    <x v="13"/>
    <x v="2"/>
    <x v="2"/>
    <x v="2"/>
    <x v="2"/>
    <x v="1"/>
    <x v="115"/>
    <x v="174"/>
    <x v="177"/>
    <x v="218"/>
    <x v="79"/>
    <x v="147"/>
    <x v="0"/>
    <x v="0"/>
  </r>
  <r>
    <x v="13"/>
    <x v="0"/>
    <x v="0"/>
    <x v="3"/>
    <x v="13"/>
    <x v="13"/>
    <x v="6"/>
    <x v="6"/>
    <x v="6"/>
    <x v="6"/>
    <x v="2"/>
    <x v="180"/>
    <x v="175"/>
    <x v="182"/>
    <x v="219"/>
    <x v="72"/>
    <x v="80"/>
    <x v="0"/>
    <x v="0"/>
  </r>
  <r>
    <x v="13"/>
    <x v="0"/>
    <x v="0"/>
    <x v="3"/>
    <x v="13"/>
    <x v="13"/>
    <x v="5"/>
    <x v="5"/>
    <x v="5"/>
    <x v="5"/>
    <x v="3"/>
    <x v="40"/>
    <x v="62"/>
    <x v="183"/>
    <x v="203"/>
    <x v="20"/>
    <x v="75"/>
    <x v="5"/>
    <x v="20"/>
  </r>
  <r>
    <x v="13"/>
    <x v="0"/>
    <x v="0"/>
    <x v="3"/>
    <x v="13"/>
    <x v="13"/>
    <x v="8"/>
    <x v="8"/>
    <x v="8"/>
    <x v="8"/>
    <x v="4"/>
    <x v="181"/>
    <x v="176"/>
    <x v="184"/>
    <x v="220"/>
    <x v="83"/>
    <x v="181"/>
    <x v="0"/>
    <x v="0"/>
  </r>
  <r>
    <x v="13"/>
    <x v="0"/>
    <x v="0"/>
    <x v="3"/>
    <x v="13"/>
    <x v="13"/>
    <x v="4"/>
    <x v="4"/>
    <x v="4"/>
    <x v="4"/>
    <x v="5"/>
    <x v="142"/>
    <x v="177"/>
    <x v="185"/>
    <x v="221"/>
    <x v="77"/>
    <x v="182"/>
    <x v="0"/>
    <x v="0"/>
  </r>
  <r>
    <x v="13"/>
    <x v="0"/>
    <x v="0"/>
    <x v="3"/>
    <x v="13"/>
    <x v="13"/>
    <x v="9"/>
    <x v="9"/>
    <x v="9"/>
    <x v="9"/>
    <x v="6"/>
    <x v="41"/>
    <x v="178"/>
    <x v="186"/>
    <x v="77"/>
    <x v="50"/>
    <x v="183"/>
    <x v="0"/>
    <x v="0"/>
  </r>
  <r>
    <x v="13"/>
    <x v="0"/>
    <x v="0"/>
    <x v="3"/>
    <x v="13"/>
    <x v="13"/>
    <x v="3"/>
    <x v="3"/>
    <x v="3"/>
    <x v="3"/>
    <x v="7"/>
    <x v="80"/>
    <x v="46"/>
    <x v="78"/>
    <x v="222"/>
    <x v="61"/>
    <x v="62"/>
    <x v="0"/>
    <x v="0"/>
  </r>
  <r>
    <x v="13"/>
    <x v="0"/>
    <x v="0"/>
    <x v="3"/>
    <x v="13"/>
    <x v="13"/>
    <x v="7"/>
    <x v="7"/>
    <x v="7"/>
    <x v="7"/>
    <x v="8"/>
    <x v="182"/>
    <x v="47"/>
    <x v="147"/>
    <x v="1"/>
    <x v="44"/>
    <x v="184"/>
    <x v="0"/>
    <x v="0"/>
  </r>
  <r>
    <x v="13"/>
    <x v="0"/>
    <x v="0"/>
    <x v="3"/>
    <x v="13"/>
    <x v="13"/>
    <x v="12"/>
    <x v="12"/>
    <x v="12"/>
    <x v="12"/>
    <x v="9"/>
    <x v="45"/>
    <x v="108"/>
    <x v="131"/>
    <x v="175"/>
    <x v="78"/>
    <x v="18"/>
    <x v="0"/>
    <x v="0"/>
  </r>
  <r>
    <x v="13"/>
    <x v="0"/>
    <x v="0"/>
    <x v="3"/>
    <x v="13"/>
    <x v="13"/>
    <x v="14"/>
    <x v="14"/>
    <x v="14"/>
    <x v="14"/>
    <x v="10"/>
    <x v="46"/>
    <x v="179"/>
    <x v="59"/>
    <x v="12"/>
    <x v="90"/>
    <x v="185"/>
    <x v="0"/>
    <x v="0"/>
  </r>
  <r>
    <x v="13"/>
    <x v="0"/>
    <x v="0"/>
    <x v="3"/>
    <x v="13"/>
    <x v="13"/>
    <x v="1"/>
    <x v="1"/>
    <x v="1"/>
    <x v="1"/>
    <x v="11"/>
    <x v="183"/>
    <x v="180"/>
    <x v="53"/>
    <x v="223"/>
    <x v="88"/>
    <x v="186"/>
    <x v="0"/>
    <x v="0"/>
  </r>
  <r>
    <x v="13"/>
    <x v="0"/>
    <x v="0"/>
    <x v="3"/>
    <x v="13"/>
    <x v="13"/>
    <x v="11"/>
    <x v="11"/>
    <x v="11"/>
    <x v="11"/>
    <x v="12"/>
    <x v="184"/>
    <x v="170"/>
    <x v="92"/>
    <x v="120"/>
    <x v="41"/>
    <x v="35"/>
    <x v="0"/>
    <x v="0"/>
  </r>
  <r>
    <x v="13"/>
    <x v="0"/>
    <x v="0"/>
    <x v="3"/>
    <x v="13"/>
    <x v="13"/>
    <x v="21"/>
    <x v="21"/>
    <x v="21"/>
    <x v="21"/>
    <x v="13"/>
    <x v="185"/>
    <x v="181"/>
    <x v="65"/>
    <x v="151"/>
    <x v="59"/>
    <x v="79"/>
    <x v="0"/>
    <x v="0"/>
  </r>
  <r>
    <x v="13"/>
    <x v="0"/>
    <x v="0"/>
    <x v="3"/>
    <x v="13"/>
    <x v="13"/>
    <x v="15"/>
    <x v="15"/>
    <x v="15"/>
    <x v="15"/>
    <x v="14"/>
    <x v="186"/>
    <x v="11"/>
    <x v="90"/>
    <x v="31"/>
    <x v="123"/>
    <x v="146"/>
    <x v="0"/>
    <x v="0"/>
  </r>
  <r>
    <x v="13"/>
    <x v="0"/>
    <x v="0"/>
    <x v="3"/>
    <x v="13"/>
    <x v="13"/>
    <x v="16"/>
    <x v="16"/>
    <x v="16"/>
    <x v="16"/>
    <x v="15"/>
    <x v="68"/>
    <x v="110"/>
    <x v="101"/>
    <x v="224"/>
    <x v="71"/>
    <x v="187"/>
    <x v="0"/>
    <x v="0"/>
  </r>
  <r>
    <x v="13"/>
    <x v="0"/>
    <x v="0"/>
    <x v="3"/>
    <x v="13"/>
    <x v="13"/>
    <x v="18"/>
    <x v="18"/>
    <x v="18"/>
    <x v="18"/>
    <x v="16"/>
    <x v="143"/>
    <x v="111"/>
    <x v="113"/>
    <x v="198"/>
    <x v="124"/>
    <x v="188"/>
    <x v="0"/>
    <x v="0"/>
  </r>
  <r>
    <x v="13"/>
    <x v="0"/>
    <x v="0"/>
    <x v="3"/>
    <x v="13"/>
    <x v="13"/>
    <x v="29"/>
    <x v="29"/>
    <x v="29"/>
    <x v="29"/>
    <x v="17"/>
    <x v="94"/>
    <x v="31"/>
    <x v="87"/>
    <x v="225"/>
    <x v="44"/>
    <x v="184"/>
    <x v="0"/>
    <x v="0"/>
  </r>
  <r>
    <x v="13"/>
    <x v="0"/>
    <x v="0"/>
    <x v="3"/>
    <x v="13"/>
    <x v="13"/>
    <x v="13"/>
    <x v="13"/>
    <x v="13"/>
    <x v="13"/>
    <x v="18"/>
    <x v="120"/>
    <x v="34"/>
    <x v="55"/>
    <x v="183"/>
    <x v="51"/>
    <x v="170"/>
    <x v="0"/>
    <x v="0"/>
  </r>
  <r>
    <x v="13"/>
    <x v="0"/>
    <x v="0"/>
    <x v="3"/>
    <x v="13"/>
    <x v="13"/>
    <x v="20"/>
    <x v="20"/>
    <x v="20"/>
    <x v="20"/>
    <x v="19"/>
    <x v="51"/>
    <x v="14"/>
    <x v="187"/>
    <x v="226"/>
    <x v="117"/>
    <x v="189"/>
    <x v="0"/>
    <x v="0"/>
  </r>
  <r>
    <x v="14"/>
    <x v="0"/>
    <x v="0"/>
    <x v="3"/>
    <x v="14"/>
    <x v="14"/>
    <x v="0"/>
    <x v="0"/>
    <x v="0"/>
    <x v="0"/>
    <x v="0"/>
    <x v="187"/>
    <x v="173"/>
    <x v="188"/>
    <x v="227"/>
    <x v="125"/>
    <x v="190"/>
    <x v="0"/>
    <x v="0"/>
  </r>
  <r>
    <x v="14"/>
    <x v="0"/>
    <x v="0"/>
    <x v="3"/>
    <x v="14"/>
    <x v="14"/>
    <x v="1"/>
    <x v="1"/>
    <x v="1"/>
    <x v="1"/>
    <x v="1"/>
    <x v="188"/>
    <x v="182"/>
    <x v="172"/>
    <x v="228"/>
    <x v="126"/>
    <x v="191"/>
    <x v="5"/>
    <x v="21"/>
  </r>
  <r>
    <x v="14"/>
    <x v="0"/>
    <x v="0"/>
    <x v="3"/>
    <x v="14"/>
    <x v="14"/>
    <x v="9"/>
    <x v="9"/>
    <x v="9"/>
    <x v="9"/>
    <x v="2"/>
    <x v="189"/>
    <x v="39"/>
    <x v="189"/>
    <x v="229"/>
    <x v="82"/>
    <x v="192"/>
    <x v="0"/>
    <x v="0"/>
  </r>
  <r>
    <x v="14"/>
    <x v="0"/>
    <x v="0"/>
    <x v="3"/>
    <x v="14"/>
    <x v="14"/>
    <x v="7"/>
    <x v="7"/>
    <x v="7"/>
    <x v="7"/>
    <x v="3"/>
    <x v="190"/>
    <x v="183"/>
    <x v="190"/>
    <x v="230"/>
    <x v="68"/>
    <x v="98"/>
    <x v="0"/>
    <x v="0"/>
  </r>
  <r>
    <x v="14"/>
    <x v="0"/>
    <x v="0"/>
    <x v="3"/>
    <x v="14"/>
    <x v="14"/>
    <x v="4"/>
    <x v="4"/>
    <x v="4"/>
    <x v="4"/>
    <x v="4"/>
    <x v="191"/>
    <x v="184"/>
    <x v="170"/>
    <x v="231"/>
    <x v="63"/>
    <x v="4"/>
    <x v="5"/>
    <x v="21"/>
  </r>
  <r>
    <x v="14"/>
    <x v="0"/>
    <x v="0"/>
    <x v="3"/>
    <x v="14"/>
    <x v="14"/>
    <x v="5"/>
    <x v="5"/>
    <x v="5"/>
    <x v="5"/>
    <x v="5"/>
    <x v="192"/>
    <x v="185"/>
    <x v="191"/>
    <x v="232"/>
    <x v="127"/>
    <x v="193"/>
    <x v="0"/>
    <x v="0"/>
  </r>
  <r>
    <x v="14"/>
    <x v="0"/>
    <x v="0"/>
    <x v="3"/>
    <x v="14"/>
    <x v="14"/>
    <x v="2"/>
    <x v="2"/>
    <x v="2"/>
    <x v="2"/>
    <x v="6"/>
    <x v="193"/>
    <x v="102"/>
    <x v="192"/>
    <x v="233"/>
    <x v="44"/>
    <x v="8"/>
    <x v="0"/>
    <x v="0"/>
  </r>
  <r>
    <x v="14"/>
    <x v="0"/>
    <x v="0"/>
    <x v="3"/>
    <x v="14"/>
    <x v="14"/>
    <x v="8"/>
    <x v="8"/>
    <x v="8"/>
    <x v="8"/>
    <x v="7"/>
    <x v="156"/>
    <x v="186"/>
    <x v="77"/>
    <x v="234"/>
    <x v="69"/>
    <x v="194"/>
    <x v="0"/>
    <x v="0"/>
  </r>
  <r>
    <x v="14"/>
    <x v="0"/>
    <x v="0"/>
    <x v="3"/>
    <x v="14"/>
    <x v="14"/>
    <x v="20"/>
    <x v="20"/>
    <x v="20"/>
    <x v="20"/>
    <x v="8"/>
    <x v="194"/>
    <x v="46"/>
    <x v="91"/>
    <x v="235"/>
    <x v="21"/>
    <x v="195"/>
    <x v="1"/>
    <x v="22"/>
  </r>
  <r>
    <x v="14"/>
    <x v="0"/>
    <x v="0"/>
    <x v="3"/>
    <x v="14"/>
    <x v="14"/>
    <x v="6"/>
    <x v="6"/>
    <x v="6"/>
    <x v="6"/>
    <x v="9"/>
    <x v="195"/>
    <x v="105"/>
    <x v="193"/>
    <x v="236"/>
    <x v="64"/>
    <x v="196"/>
    <x v="0"/>
    <x v="0"/>
  </r>
  <r>
    <x v="14"/>
    <x v="0"/>
    <x v="0"/>
    <x v="3"/>
    <x v="14"/>
    <x v="14"/>
    <x v="11"/>
    <x v="11"/>
    <x v="11"/>
    <x v="11"/>
    <x v="10"/>
    <x v="196"/>
    <x v="26"/>
    <x v="194"/>
    <x v="237"/>
    <x v="89"/>
    <x v="129"/>
    <x v="0"/>
    <x v="0"/>
  </r>
  <r>
    <x v="14"/>
    <x v="0"/>
    <x v="0"/>
    <x v="3"/>
    <x v="14"/>
    <x v="14"/>
    <x v="15"/>
    <x v="15"/>
    <x v="15"/>
    <x v="15"/>
    <x v="11"/>
    <x v="137"/>
    <x v="187"/>
    <x v="119"/>
    <x v="211"/>
    <x v="36"/>
    <x v="22"/>
    <x v="0"/>
    <x v="0"/>
  </r>
  <r>
    <x v="14"/>
    <x v="0"/>
    <x v="0"/>
    <x v="3"/>
    <x v="14"/>
    <x v="14"/>
    <x v="3"/>
    <x v="3"/>
    <x v="3"/>
    <x v="3"/>
    <x v="12"/>
    <x v="197"/>
    <x v="188"/>
    <x v="144"/>
    <x v="238"/>
    <x v="74"/>
    <x v="3"/>
    <x v="0"/>
    <x v="0"/>
  </r>
  <r>
    <x v="14"/>
    <x v="0"/>
    <x v="0"/>
    <x v="3"/>
    <x v="14"/>
    <x v="14"/>
    <x v="14"/>
    <x v="14"/>
    <x v="14"/>
    <x v="14"/>
    <x v="13"/>
    <x v="140"/>
    <x v="122"/>
    <x v="68"/>
    <x v="74"/>
    <x v="128"/>
    <x v="28"/>
    <x v="0"/>
    <x v="0"/>
  </r>
  <r>
    <x v="14"/>
    <x v="0"/>
    <x v="0"/>
    <x v="3"/>
    <x v="14"/>
    <x v="14"/>
    <x v="16"/>
    <x v="16"/>
    <x v="16"/>
    <x v="16"/>
    <x v="14"/>
    <x v="89"/>
    <x v="110"/>
    <x v="70"/>
    <x v="239"/>
    <x v="124"/>
    <x v="5"/>
    <x v="5"/>
    <x v="21"/>
  </r>
  <r>
    <x v="14"/>
    <x v="0"/>
    <x v="0"/>
    <x v="3"/>
    <x v="14"/>
    <x v="14"/>
    <x v="12"/>
    <x v="12"/>
    <x v="12"/>
    <x v="12"/>
    <x v="15"/>
    <x v="61"/>
    <x v="124"/>
    <x v="130"/>
    <x v="70"/>
    <x v="124"/>
    <x v="5"/>
    <x v="0"/>
    <x v="0"/>
  </r>
  <r>
    <x v="14"/>
    <x v="0"/>
    <x v="0"/>
    <x v="3"/>
    <x v="14"/>
    <x v="14"/>
    <x v="18"/>
    <x v="18"/>
    <x v="18"/>
    <x v="18"/>
    <x v="16"/>
    <x v="44"/>
    <x v="172"/>
    <x v="106"/>
    <x v="240"/>
    <x v="3"/>
    <x v="197"/>
    <x v="0"/>
    <x v="0"/>
  </r>
  <r>
    <x v="14"/>
    <x v="0"/>
    <x v="0"/>
    <x v="3"/>
    <x v="14"/>
    <x v="14"/>
    <x v="17"/>
    <x v="17"/>
    <x v="17"/>
    <x v="17"/>
    <x v="17"/>
    <x v="83"/>
    <x v="144"/>
    <x v="74"/>
    <x v="241"/>
    <x v="129"/>
    <x v="198"/>
    <x v="0"/>
    <x v="0"/>
  </r>
  <r>
    <x v="14"/>
    <x v="0"/>
    <x v="0"/>
    <x v="3"/>
    <x v="14"/>
    <x v="14"/>
    <x v="22"/>
    <x v="22"/>
    <x v="22"/>
    <x v="22"/>
    <x v="18"/>
    <x v="198"/>
    <x v="84"/>
    <x v="108"/>
    <x v="164"/>
    <x v="130"/>
    <x v="199"/>
    <x v="0"/>
    <x v="0"/>
  </r>
  <r>
    <x v="14"/>
    <x v="0"/>
    <x v="0"/>
    <x v="3"/>
    <x v="14"/>
    <x v="14"/>
    <x v="13"/>
    <x v="13"/>
    <x v="13"/>
    <x v="13"/>
    <x v="19"/>
    <x v="48"/>
    <x v="37"/>
    <x v="92"/>
    <x v="149"/>
    <x v="102"/>
    <x v="200"/>
    <x v="0"/>
    <x v="0"/>
  </r>
  <r>
    <x v="15"/>
    <x v="0"/>
    <x v="0"/>
    <x v="3"/>
    <x v="15"/>
    <x v="15"/>
    <x v="0"/>
    <x v="0"/>
    <x v="0"/>
    <x v="0"/>
    <x v="0"/>
    <x v="94"/>
    <x v="189"/>
    <x v="68"/>
    <x v="242"/>
    <x v="59"/>
    <x v="98"/>
    <x v="0"/>
    <x v="0"/>
  </r>
  <r>
    <x v="15"/>
    <x v="0"/>
    <x v="0"/>
    <x v="3"/>
    <x v="15"/>
    <x v="15"/>
    <x v="1"/>
    <x v="1"/>
    <x v="1"/>
    <x v="1"/>
    <x v="1"/>
    <x v="97"/>
    <x v="190"/>
    <x v="145"/>
    <x v="243"/>
    <x v="43"/>
    <x v="201"/>
    <x v="0"/>
    <x v="0"/>
  </r>
  <r>
    <x v="15"/>
    <x v="0"/>
    <x v="0"/>
    <x v="3"/>
    <x v="15"/>
    <x v="15"/>
    <x v="2"/>
    <x v="2"/>
    <x v="2"/>
    <x v="2"/>
    <x v="2"/>
    <x v="57"/>
    <x v="191"/>
    <x v="59"/>
    <x v="77"/>
    <x v="56"/>
    <x v="44"/>
    <x v="0"/>
    <x v="0"/>
  </r>
  <r>
    <x v="15"/>
    <x v="0"/>
    <x v="0"/>
    <x v="3"/>
    <x v="15"/>
    <x v="15"/>
    <x v="4"/>
    <x v="4"/>
    <x v="4"/>
    <x v="4"/>
    <x v="3"/>
    <x v="71"/>
    <x v="154"/>
    <x v="127"/>
    <x v="7"/>
    <x v="79"/>
    <x v="202"/>
    <x v="0"/>
    <x v="0"/>
  </r>
  <r>
    <x v="15"/>
    <x v="0"/>
    <x v="0"/>
    <x v="3"/>
    <x v="15"/>
    <x v="15"/>
    <x v="23"/>
    <x v="23"/>
    <x v="23"/>
    <x v="23"/>
    <x v="4"/>
    <x v="145"/>
    <x v="185"/>
    <x v="110"/>
    <x v="244"/>
    <x v="60"/>
    <x v="53"/>
    <x v="0"/>
    <x v="0"/>
  </r>
  <r>
    <x v="15"/>
    <x v="0"/>
    <x v="0"/>
    <x v="3"/>
    <x v="15"/>
    <x v="15"/>
    <x v="6"/>
    <x v="6"/>
    <x v="6"/>
    <x v="6"/>
    <x v="5"/>
    <x v="73"/>
    <x v="192"/>
    <x v="166"/>
    <x v="245"/>
    <x v="61"/>
    <x v="62"/>
    <x v="0"/>
    <x v="0"/>
  </r>
  <r>
    <x v="15"/>
    <x v="0"/>
    <x v="0"/>
    <x v="3"/>
    <x v="15"/>
    <x v="15"/>
    <x v="3"/>
    <x v="3"/>
    <x v="3"/>
    <x v="3"/>
    <x v="6"/>
    <x v="199"/>
    <x v="45"/>
    <x v="127"/>
    <x v="7"/>
    <x v="61"/>
    <x v="62"/>
    <x v="0"/>
    <x v="0"/>
  </r>
  <r>
    <x v="15"/>
    <x v="0"/>
    <x v="0"/>
    <x v="3"/>
    <x v="15"/>
    <x v="15"/>
    <x v="11"/>
    <x v="11"/>
    <x v="11"/>
    <x v="11"/>
    <x v="7"/>
    <x v="107"/>
    <x v="193"/>
    <x v="73"/>
    <x v="100"/>
    <x v="50"/>
    <x v="203"/>
    <x v="0"/>
    <x v="0"/>
  </r>
  <r>
    <x v="15"/>
    <x v="0"/>
    <x v="0"/>
    <x v="3"/>
    <x v="15"/>
    <x v="15"/>
    <x v="7"/>
    <x v="7"/>
    <x v="7"/>
    <x v="7"/>
    <x v="8"/>
    <x v="200"/>
    <x v="180"/>
    <x v="146"/>
    <x v="246"/>
    <x v="55"/>
    <x v="204"/>
    <x v="0"/>
    <x v="0"/>
  </r>
  <r>
    <x v="15"/>
    <x v="0"/>
    <x v="0"/>
    <x v="3"/>
    <x v="15"/>
    <x v="15"/>
    <x v="41"/>
    <x v="41"/>
    <x v="41"/>
    <x v="41"/>
    <x v="8"/>
    <x v="200"/>
    <x v="180"/>
    <x v="76"/>
    <x v="247"/>
    <x v="59"/>
    <x v="98"/>
    <x v="5"/>
    <x v="23"/>
  </r>
  <r>
    <x v="15"/>
    <x v="0"/>
    <x v="0"/>
    <x v="3"/>
    <x v="15"/>
    <x v="15"/>
    <x v="19"/>
    <x v="19"/>
    <x v="19"/>
    <x v="19"/>
    <x v="10"/>
    <x v="201"/>
    <x v="158"/>
    <x v="93"/>
    <x v="10"/>
    <x v="50"/>
    <x v="203"/>
    <x v="0"/>
    <x v="0"/>
  </r>
  <r>
    <x v="15"/>
    <x v="0"/>
    <x v="0"/>
    <x v="3"/>
    <x v="15"/>
    <x v="15"/>
    <x v="25"/>
    <x v="25"/>
    <x v="25"/>
    <x v="25"/>
    <x v="10"/>
    <x v="201"/>
    <x v="158"/>
    <x v="120"/>
    <x v="248"/>
    <x v="74"/>
    <x v="115"/>
    <x v="0"/>
    <x v="0"/>
  </r>
  <r>
    <x v="15"/>
    <x v="0"/>
    <x v="0"/>
    <x v="3"/>
    <x v="15"/>
    <x v="15"/>
    <x v="10"/>
    <x v="10"/>
    <x v="10"/>
    <x v="10"/>
    <x v="12"/>
    <x v="202"/>
    <x v="95"/>
    <x v="151"/>
    <x v="249"/>
    <x v="71"/>
    <x v="33"/>
    <x v="0"/>
    <x v="0"/>
  </r>
  <r>
    <x v="15"/>
    <x v="0"/>
    <x v="0"/>
    <x v="3"/>
    <x v="15"/>
    <x v="15"/>
    <x v="26"/>
    <x v="26"/>
    <x v="26"/>
    <x v="26"/>
    <x v="12"/>
    <x v="202"/>
    <x v="95"/>
    <x v="93"/>
    <x v="10"/>
    <x v="72"/>
    <x v="41"/>
    <x v="0"/>
    <x v="0"/>
  </r>
  <r>
    <x v="15"/>
    <x v="0"/>
    <x v="0"/>
    <x v="3"/>
    <x v="15"/>
    <x v="15"/>
    <x v="21"/>
    <x v="21"/>
    <x v="21"/>
    <x v="21"/>
    <x v="12"/>
    <x v="202"/>
    <x v="95"/>
    <x v="73"/>
    <x v="100"/>
    <x v="55"/>
    <x v="204"/>
    <x v="0"/>
    <x v="0"/>
  </r>
  <r>
    <x v="15"/>
    <x v="0"/>
    <x v="0"/>
    <x v="3"/>
    <x v="15"/>
    <x v="15"/>
    <x v="13"/>
    <x v="13"/>
    <x v="13"/>
    <x v="13"/>
    <x v="15"/>
    <x v="203"/>
    <x v="159"/>
    <x v="94"/>
    <x v="225"/>
    <x v="59"/>
    <x v="98"/>
    <x v="0"/>
    <x v="0"/>
  </r>
  <r>
    <x v="15"/>
    <x v="0"/>
    <x v="0"/>
    <x v="3"/>
    <x v="15"/>
    <x v="15"/>
    <x v="9"/>
    <x v="9"/>
    <x v="9"/>
    <x v="9"/>
    <x v="15"/>
    <x v="203"/>
    <x v="159"/>
    <x v="117"/>
    <x v="208"/>
    <x v="55"/>
    <x v="204"/>
    <x v="0"/>
    <x v="0"/>
  </r>
  <r>
    <x v="15"/>
    <x v="0"/>
    <x v="0"/>
    <x v="3"/>
    <x v="15"/>
    <x v="15"/>
    <x v="12"/>
    <x v="12"/>
    <x v="12"/>
    <x v="12"/>
    <x v="17"/>
    <x v="204"/>
    <x v="194"/>
    <x v="132"/>
    <x v="50"/>
    <x v="59"/>
    <x v="98"/>
    <x v="0"/>
    <x v="0"/>
  </r>
  <r>
    <x v="15"/>
    <x v="0"/>
    <x v="0"/>
    <x v="3"/>
    <x v="15"/>
    <x v="15"/>
    <x v="5"/>
    <x v="5"/>
    <x v="5"/>
    <x v="5"/>
    <x v="17"/>
    <x v="204"/>
    <x v="194"/>
    <x v="179"/>
    <x v="106"/>
    <x v="65"/>
    <x v="205"/>
    <x v="0"/>
    <x v="0"/>
  </r>
  <r>
    <x v="15"/>
    <x v="0"/>
    <x v="0"/>
    <x v="3"/>
    <x v="15"/>
    <x v="15"/>
    <x v="18"/>
    <x v="18"/>
    <x v="18"/>
    <x v="18"/>
    <x v="19"/>
    <x v="205"/>
    <x v="110"/>
    <x v="195"/>
    <x v="250"/>
    <x v="58"/>
    <x v="206"/>
    <x v="0"/>
    <x v="0"/>
  </r>
  <r>
    <x v="16"/>
    <x v="0"/>
    <x v="0"/>
    <x v="3"/>
    <x v="16"/>
    <x v="16"/>
    <x v="0"/>
    <x v="0"/>
    <x v="0"/>
    <x v="0"/>
    <x v="0"/>
    <x v="206"/>
    <x v="195"/>
    <x v="49"/>
    <x v="251"/>
    <x v="72"/>
    <x v="207"/>
    <x v="0"/>
    <x v="0"/>
  </r>
  <r>
    <x v="16"/>
    <x v="0"/>
    <x v="0"/>
    <x v="3"/>
    <x v="16"/>
    <x v="16"/>
    <x v="1"/>
    <x v="1"/>
    <x v="1"/>
    <x v="1"/>
    <x v="1"/>
    <x v="207"/>
    <x v="196"/>
    <x v="195"/>
    <x v="149"/>
    <x v="131"/>
    <x v="208"/>
    <x v="5"/>
    <x v="22"/>
  </r>
  <r>
    <x v="16"/>
    <x v="0"/>
    <x v="0"/>
    <x v="3"/>
    <x v="16"/>
    <x v="16"/>
    <x v="11"/>
    <x v="11"/>
    <x v="11"/>
    <x v="11"/>
    <x v="2"/>
    <x v="103"/>
    <x v="197"/>
    <x v="75"/>
    <x v="62"/>
    <x v="104"/>
    <x v="209"/>
    <x v="0"/>
    <x v="0"/>
  </r>
  <r>
    <x v="16"/>
    <x v="0"/>
    <x v="0"/>
    <x v="3"/>
    <x v="16"/>
    <x v="16"/>
    <x v="9"/>
    <x v="9"/>
    <x v="9"/>
    <x v="9"/>
    <x v="3"/>
    <x v="96"/>
    <x v="198"/>
    <x v="69"/>
    <x v="252"/>
    <x v="60"/>
    <x v="23"/>
    <x v="0"/>
    <x v="0"/>
  </r>
  <r>
    <x v="16"/>
    <x v="0"/>
    <x v="0"/>
    <x v="3"/>
    <x v="16"/>
    <x v="16"/>
    <x v="4"/>
    <x v="4"/>
    <x v="4"/>
    <x v="4"/>
    <x v="4"/>
    <x v="120"/>
    <x v="199"/>
    <x v="110"/>
    <x v="253"/>
    <x v="81"/>
    <x v="210"/>
    <x v="0"/>
    <x v="0"/>
  </r>
  <r>
    <x v="16"/>
    <x v="0"/>
    <x v="0"/>
    <x v="3"/>
    <x v="16"/>
    <x v="16"/>
    <x v="20"/>
    <x v="20"/>
    <x v="20"/>
    <x v="20"/>
    <x v="5"/>
    <x v="51"/>
    <x v="190"/>
    <x v="150"/>
    <x v="254"/>
    <x v="63"/>
    <x v="211"/>
    <x v="5"/>
    <x v="22"/>
  </r>
  <r>
    <x v="16"/>
    <x v="0"/>
    <x v="0"/>
    <x v="3"/>
    <x v="16"/>
    <x v="16"/>
    <x v="7"/>
    <x v="7"/>
    <x v="7"/>
    <x v="7"/>
    <x v="5"/>
    <x v="51"/>
    <x v="190"/>
    <x v="196"/>
    <x v="255"/>
    <x v="45"/>
    <x v="197"/>
    <x v="0"/>
    <x v="0"/>
  </r>
  <r>
    <x v="16"/>
    <x v="0"/>
    <x v="0"/>
    <x v="3"/>
    <x v="16"/>
    <x v="16"/>
    <x v="5"/>
    <x v="5"/>
    <x v="5"/>
    <x v="5"/>
    <x v="7"/>
    <x v="97"/>
    <x v="200"/>
    <x v="145"/>
    <x v="256"/>
    <x v="43"/>
    <x v="52"/>
    <x v="0"/>
    <x v="0"/>
  </r>
  <r>
    <x v="16"/>
    <x v="0"/>
    <x v="0"/>
    <x v="3"/>
    <x v="16"/>
    <x v="16"/>
    <x v="15"/>
    <x v="15"/>
    <x v="15"/>
    <x v="15"/>
    <x v="8"/>
    <x v="69"/>
    <x v="201"/>
    <x v="195"/>
    <x v="149"/>
    <x v="102"/>
    <x v="212"/>
    <x v="0"/>
    <x v="0"/>
  </r>
  <r>
    <x v="16"/>
    <x v="0"/>
    <x v="0"/>
    <x v="3"/>
    <x v="16"/>
    <x v="16"/>
    <x v="22"/>
    <x v="22"/>
    <x v="22"/>
    <x v="22"/>
    <x v="9"/>
    <x v="107"/>
    <x v="26"/>
    <x v="48"/>
    <x v="235"/>
    <x v="40"/>
    <x v="213"/>
    <x v="0"/>
    <x v="0"/>
  </r>
  <r>
    <x v="16"/>
    <x v="0"/>
    <x v="0"/>
    <x v="3"/>
    <x v="16"/>
    <x v="16"/>
    <x v="2"/>
    <x v="2"/>
    <x v="2"/>
    <x v="2"/>
    <x v="10"/>
    <x v="108"/>
    <x v="106"/>
    <x v="71"/>
    <x v="257"/>
    <x v="74"/>
    <x v="61"/>
    <x v="0"/>
    <x v="0"/>
  </r>
  <r>
    <x v="16"/>
    <x v="0"/>
    <x v="0"/>
    <x v="3"/>
    <x v="16"/>
    <x v="16"/>
    <x v="40"/>
    <x v="40"/>
    <x v="40"/>
    <x v="40"/>
    <x v="11"/>
    <x v="112"/>
    <x v="121"/>
    <x v="76"/>
    <x v="66"/>
    <x v="79"/>
    <x v="179"/>
    <x v="0"/>
    <x v="0"/>
  </r>
  <r>
    <x v="16"/>
    <x v="0"/>
    <x v="0"/>
    <x v="3"/>
    <x v="16"/>
    <x v="16"/>
    <x v="14"/>
    <x v="14"/>
    <x v="14"/>
    <x v="14"/>
    <x v="12"/>
    <x v="208"/>
    <x v="28"/>
    <x v="91"/>
    <x v="92"/>
    <x v="62"/>
    <x v="214"/>
    <x v="0"/>
    <x v="0"/>
  </r>
  <r>
    <x v="16"/>
    <x v="0"/>
    <x v="0"/>
    <x v="3"/>
    <x v="16"/>
    <x v="16"/>
    <x v="12"/>
    <x v="12"/>
    <x v="12"/>
    <x v="12"/>
    <x v="13"/>
    <x v="200"/>
    <x v="202"/>
    <x v="151"/>
    <x v="123"/>
    <x v="45"/>
    <x v="197"/>
    <x v="5"/>
    <x v="22"/>
  </r>
  <r>
    <x v="16"/>
    <x v="0"/>
    <x v="0"/>
    <x v="3"/>
    <x v="16"/>
    <x v="16"/>
    <x v="8"/>
    <x v="8"/>
    <x v="8"/>
    <x v="8"/>
    <x v="14"/>
    <x v="202"/>
    <x v="132"/>
    <x v="76"/>
    <x v="66"/>
    <x v="74"/>
    <x v="61"/>
    <x v="0"/>
    <x v="0"/>
  </r>
  <r>
    <x v="16"/>
    <x v="0"/>
    <x v="0"/>
    <x v="3"/>
    <x v="16"/>
    <x v="16"/>
    <x v="17"/>
    <x v="17"/>
    <x v="17"/>
    <x v="17"/>
    <x v="15"/>
    <x v="203"/>
    <x v="50"/>
    <x v="187"/>
    <x v="14"/>
    <x v="81"/>
    <x v="210"/>
    <x v="0"/>
    <x v="0"/>
  </r>
  <r>
    <x v="16"/>
    <x v="0"/>
    <x v="0"/>
    <x v="3"/>
    <x v="16"/>
    <x v="16"/>
    <x v="27"/>
    <x v="27"/>
    <x v="27"/>
    <x v="27"/>
    <x v="15"/>
    <x v="203"/>
    <x v="50"/>
    <x v="117"/>
    <x v="4"/>
    <x v="55"/>
    <x v="159"/>
    <x v="0"/>
    <x v="0"/>
  </r>
  <r>
    <x v="16"/>
    <x v="0"/>
    <x v="0"/>
    <x v="3"/>
    <x v="16"/>
    <x v="16"/>
    <x v="24"/>
    <x v="24"/>
    <x v="24"/>
    <x v="24"/>
    <x v="17"/>
    <x v="204"/>
    <x v="124"/>
    <x v="151"/>
    <x v="123"/>
    <x v="72"/>
    <x v="207"/>
    <x v="0"/>
    <x v="0"/>
  </r>
  <r>
    <x v="16"/>
    <x v="0"/>
    <x v="0"/>
    <x v="3"/>
    <x v="16"/>
    <x v="16"/>
    <x v="26"/>
    <x v="26"/>
    <x v="26"/>
    <x v="26"/>
    <x v="17"/>
    <x v="204"/>
    <x v="124"/>
    <x v="118"/>
    <x v="258"/>
    <x v="47"/>
    <x v="88"/>
    <x v="0"/>
    <x v="0"/>
  </r>
  <r>
    <x v="16"/>
    <x v="0"/>
    <x v="0"/>
    <x v="3"/>
    <x v="16"/>
    <x v="16"/>
    <x v="39"/>
    <x v="39"/>
    <x v="39"/>
    <x v="39"/>
    <x v="19"/>
    <x v="205"/>
    <x v="32"/>
    <x v="72"/>
    <x v="259"/>
    <x v="103"/>
    <x v="215"/>
    <x v="0"/>
    <x v="0"/>
  </r>
  <r>
    <x v="16"/>
    <x v="0"/>
    <x v="0"/>
    <x v="3"/>
    <x v="16"/>
    <x v="16"/>
    <x v="3"/>
    <x v="3"/>
    <x v="3"/>
    <x v="3"/>
    <x v="19"/>
    <x v="205"/>
    <x v="32"/>
    <x v="108"/>
    <x v="136"/>
    <x v="56"/>
    <x v="151"/>
    <x v="0"/>
    <x v="0"/>
  </r>
  <r>
    <x v="17"/>
    <x v="0"/>
    <x v="0"/>
    <x v="3"/>
    <x v="17"/>
    <x v="17"/>
    <x v="0"/>
    <x v="0"/>
    <x v="0"/>
    <x v="0"/>
    <x v="0"/>
    <x v="163"/>
    <x v="203"/>
    <x v="197"/>
    <x v="260"/>
    <x v="44"/>
    <x v="192"/>
    <x v="0"/>
    <x v="0"/>
  </r>
  <r>
    <x v="17"/>
    <x v="0"/>
    <x v="0"/>
    <x v="3"/>
    <x v="17"/>
    <x v="17"/>
    <x v="8"/>
    <x v="8"/>
    <x v="8"/>
    <x v="8"/>
    <x v="1"/>
    <x v="62"/>
    <x v="204"/>
    <x v="178"/>
    <x v="261"/>
    <x v="83"/>
    <x v="196"/>
    <x v="0"/>
    <x v="0"/>
  </r>
  <r>
    <x v="17"/>
    <x v="0"/>
    <x v="0"/>
    <x v="3"/>
    <x v="17"/>
    <x v="17"/>
    <x v="1"/>
    <x v="1"/>
    <x v="1"/>
    <x v="1"/>
    <x v="2"/>
    <x v="209"/>
    <x v="41"/>
    <x v="53"/>
    <x v="88"/>
    <x v="132"/>
    <x v="216"/>
    <x v="0"/>
    <x v="0"/>
  </r>
  <r>
    <x v="17"/>
    <x v="0"/>
    <x v="0"/>
    <x v="3"/>
    <x v="17"/>
    <x v="17"/>
    <x v="9"/>
    <x v="9"/>
    <x v="9"/>
    <x v="9"/>
    <x v="3"/>
    <x v="48"/>
    <x v="205"/>
    <x v="85"/>
    <x v="262"/>
    <x v="75"/>
    <x v="125"/>
    <x v="0"/>
    <x v="0"/>
  </r>
  <r>
    <x v="17"/>
    <x v="0"/>
    <x v="0"/>
    <x v="3"/>
    <x v="17"/>
    <x v="17"/>
    <x v="6"/>
    <x v="6"/>
    <x v="6"/>
    <x v="6"/>
    <x v="4"/>
    <x v="184"/>
    <x v="206"/>
    <x v="198"/>
    <x v="263"/>
    <x v="59"/>
    <x v="29"/>
    <x v="0"/>
    <x v="0"/>
  </r>
  <r>
    <x v="17"/>
    <x v="0"/>
    <x v="0"/>
    <x v="3"/>
    <x v="17"/>
    <x v="17"/>
    <x v="5"/>
    <x v="5"/>
    <x v="5"/>
    <x v="5"/>
    <x v="5"/>
    <x v="66"/>
    <x v="207"/>
    <x v="69"/>
    <x v="238"/>
    <x v="103"/>
    <x v="13"/>
    <x v="5"/>
    <x v="12"/>
  </r>
  <r>
    <x v="17"/>
    <x v="0"/>
    <x v="0"/>
    <x v="3"/>
    <x v="17"/>
    <x v="17"/>
    <x v="2"/>
    <x v="2"/>
    <x v="2"/>
    <x v="2"/>
    <x v="6"/>
    <x v="210"/>
    <x v="104"/>
    <x v="46"/>
    <x v="79"/>
    <x v="65"/>
    <x v="56"/>
    <x v="0"/>
    <x v="0"/>
  </r>
  <r>
    <x v="17"/>
    <x v="0"/>
    <x v="0"/>
    <x v="3"/>
    <x v="17"/>
    <x v="17"/>
    <x v="4"/>
    <x v="4"/>
    <x v="4"/>
    <x v="4"/>
    <x v="7"/>
    <x v="143"/>
    <x v="130"/>
    <x v="199"/>
    <x v="264"/>
    <x v="45"/>
    <x v="217"/>
    <x v="0"/>
    <x v="0"/>
  </r>
  <r>
    <x v="17"/>
    <x v="0"/>
    <x v="0"/>
    <x v="3"/>
    <x v="17"/>
    <x v="17"/>
    <x v="3"/>
    <x v="3"/>
    <x v="3"/>
    <x v="3"/>
    <x v="7"/>
    <x v="143"/>
    <x v="130"/>
    <x v="149"/>
    <x v="265"/>
    <x v="56"/>
    <x v="204"/>
    <x v="0"/>
    <x v="0"/>
  </r>
  <r>
    <x v="17"/>
    <x v="0"/>
    <x v="0"/>
    <x v="3"/>
    <x v="17"/>
    <x v="17"/>
    <x v="7"/>
    <x v="7"/>
    <x v="7"/>
    <x v="7"/>
    <x v="9"/>
    <x v="94"/>
    <x v="208"/>
    <x v="200"/>
    <x v="266"/>
    <x v="75"/>
    <x v="125"/>
    <x v="0"/>
    <x v="0"/>
  </r>
  <r>
    <x v="17"/>
    <x v="0"/>
    <x v="0"/>
    <x v="3"/>
    <x v="17"/>
    <x v="17"/>
    <x v="20"/>
    <x v="20"/>
    <x v="20"/>
    <x v="20"/>
    <x v="10"/>
    <x v="119"/>
    <x v="47"/>
    <x v="116"/>
    <x v="210"/>
    <x v="123"/>
    <x v="218"/>
    <x v="0"/>
    <x v="0"/>
  </r>
  <r>
    <x v="17"/>
    <x v="0"/>
    <x v="0"/>
    <x v="3"/>
    <x v="17"/>
    <x v="17"/>
    <x v="13"/>
    <x v="13"/>
    <x v="13"/>
    <x v="13"/>
    <x v="11"/>
    <x v="120"/>
    <x v="209"/>
    <x v="115"/>
    <x v="237"/>
    <x v="49"/>
    <x v="219"/>
    <x v="0"/>
    <x v="0"/>
  </r>
  <r>
    <x v="17"/>
    <x v="0"/>
    <x v="0"/>
    <x v="3"/>
    <x v="17"/>
    <x v="17"/>
    <x v="14"/>
    <x v="14"/>
    <x v="14"/>
    <x v="14"/>
    <x v="12"/>
    <x v="51"/>
    <x v="188"/>
    <x v="71"/>
    <x v="194"/>
    <x v="82"/>
    <x v="220"/>
    <x v="0"/>
    <x v="0"/>
  </r>
  <r>
    <x v="17"/>
    <x v="0"/>
    <x v="0"/>
    <x v="3"/>
    <x v="17"/>
    <x v="17"/>
    <x v="17"/>
    <x v="17"/>
    <x v="17"/>
    <x v="17"/>
    <x v="13"/>
    <x v="86"/>
    <x v="94"/>
    <x v="116"/>
    <x v="210"/>
    <x v="133"/>
    <x v="221"/>
    <x v="0"/>
    <x v="0"/>
  </r>
  <r>
    <x v="17"/>
    <x v="0"/>
    <x v="0"/>
    <x v="3"/>
    <x v="17"/>
    <x v="17"/>
    <x v="10"/>
    <x v="10"/>
    <x v="10"/>
    <x v="10"/>
    <x v="14"/>
    <x v="54"/>
    <x v="202"/>
    <x v="118"/>
    <x v="267"/>
    <x v="66"/>
    <x v="222"/>
    <x v="0"/>
    <x v="0"/>
  </r>
  <r>
    <x v="17"/>
    <x v="0"/>
    <x v="0"/>
    <x v="3"/>
    <x v="17"/>
    <x v="17"/>
    <x v="12"/>
    <x v="12"/>
    <x v="12"/>
    <x v="12"/>
    <x v="15"/>
    <x v="145"/>
    <x v="109"/>
    <x v="71"/>
    <x v="194"/>
    <x v="45"/>
    <x v="217"/>
    <x v="0"/>
    <x v="0"/>
  </r>
  <r>
    <x v="17"/>
    <x v="0"/>
    <x v="0"/>
    <x v="3"/>
    <x v="17"/>
    <x v="17"/>
    <x v="15"/>
    <x v="15"/>
    <x v="15"/>
    <x v="15"/>
    <x v="15"/>
    <x v="145"/>
    <x v="109"/>
    <x v="74"/>
    <x v="31"/>
    <x v="76"/>
    <x v="185"/>
    <x v="0"/>
    <x v="0"/>
  </r>
  <r>
    <x v="17"/>
    <x v="0"/>
    <x v="0"/>
    <x v="3"/>
    <x v="17"/>
    <x v="17"/>
    <x v="19"/>
    <x v="19"/>
    <x v="19"/>
    <x v="19"/>
    <x v="17"/>
    <x v="98"/>
    <x v="142"/>
    <x v="91"/>
    <x v="68"/>
    <x v="40"/>
    <x v="198"/>
    <x v="0"/>
    <x v="0"/>
  </r>
  <r>
    <x v="17"/>
    <x v="0"/>
    <x v="0"/>
    <x v="3"/>
    <x v="17"/>
    <x v="17"/>
    <x v="16"/>
    <x v="16"/>
    <x v="16"/>
    <x v="16"/>
    <x v="18"/>
    <x v="72"/>
    <x v="151"/>
    <x v="71"/>
    <x v="194"/>
    <x v="44"/>
    <x v="192"/>
    <x v="0"/>
    <x v="0"/>
  </r>
  <r>
    <x v="17"/>
    <x v="0"/>
    <x v="0"/>
    <x v="3"/>
    <x v="17"/>
    <x v="17"/>
    <x v="11"/>
    <x v="11"/>
    <x v="11"/>
    <x v="11"/>
    <x v="19"/>
    <x v="99"/>
    <x v="32"/>
    <x v="132"/>
    <x v="183"/>
    <x v="105"/>
    <x v="223"/>
    <x v="0"/>
    <x v="0"/>
  </r>
  <r>
    <x v="18"/>
    <x v="0"/>
    <x v="0"/>
    <x v="3"/>
    <x v="18"/>
    <x v="18"/>
    <x v="1"/>
    <x v="1"/>
    <x v="1"/>
    <x v="1"/>
    <x v="0"/>
    <x v="56"/>
    <x v="210"/>
    <x v="34"/>
    <x v="268"/>
    <x v="60"/>
    <x v="224"/>
    <x v="0"/>
    <x v="0"/>
  </r>
  <r>
    <x v="18"/>
    <x v="0"/>
    <x v="0"/>
    <x v="3"/>
    <x v="18"/>
    <x v="18"/>
    <x v="0"/>
    <x v="0"/>
    <x v="0"/>
    <x v="0"/>
    <x v="1"/>
    <x v="99"/>
    <x v="211"/>
    <x v="201"/>
    <x v="269"/>
    <x v="61"/>
    <x v="62"/>
    <x v="0"/>
    <x v="0"/>
  </r>
  <r>
    <x v="18"/>
    <x v="0"/>
    <x v="0"/>
    <x v="3"/>
    <x v="18"/>
    <x v="18"/>
    <x v="6"/>
    <x v="6"/>
    <x v="6"/>
    <x v="6"/>
    <x v="2"/>
    <x v="202"/>
    <x v="212"/>
    <x v="73"/>
    <x v="270"/>
    <x v="55"/>
    <x v="8"/>
    <x v="0"/>
    <x v="0"/>
  </r>
  <r>
    <x v="18"/>
    <x v="0"/>
    <x v="0"/>
    <x v="3"/>
    <x v="18"/>
    <x v="18"/>
    <x v="4"/>
    <x v="4"/>
    <x v="4"/>
    <x v="4"/>
    <x v="3"/>
    <x v="204"/>
    <x v="117"/>
    <x v="50"/>
    <x v="65"/>
    <x v="60"/>
    <x v="224"/>
    <x v="0"/>
    <x v="0"/>
  </r>
  <r>
    <x v="18"/>
    <x v="0"/>
    <x v="0"/>
    <x v="3"/>
    <x v="18"/>
    <x v="18"/>
    <x v="5"/>
    <x v="5"/>
    <x v="5"/>
    <x v="5"/>
    <x v="3"/>
    <x v="204"/>
    <x v="117"/>
    <x v="94"/>
    <x v="271"/>
    <x v="56"/>
    <x v="179"/>
    <x v="0"/>
    <x v="0"/>
  </r>
  <r>
    <x v="18"/>
    <x v="0"/>
    <x v="0"/>
    <x v="3"/>
    <x v="18"/>
    <x v="18"/>
    <x v="10"/>
    <x v="10"/>
    <x v="10"/>
    <x v="10"/>
    <x v="5"/>
    <x v="211"/>
    <x v="213"/>
    <x v="195"/>
    <x v="272"/>
    <x v="45"/>
    <x v="225"/>
    <x v="0"/>
    <x v="0"/>
  </r>
  <r>
    <x v="18"/>
    <x v="0"/>
    <x v="0"/>
    <x v="3"/>
    <x v="18"/>
    <x v="18"/>
    <x v="19"/>
    <x v="19"/>
    <x v="19"/>
    <x v="19"/>
    <x v="5"/>
    <x v="211"/>
    <x v="213"/>
    <x v="107"/>
    <x v="55"/>
    <x v="85"/>
    <x v="226"/>
    <x v="0"/>
    <x v="0"/>
  </r>
  <r>
    <x v="18"/>
    <x v="0"/>
    <x v="0"/>
    <x v="3"/>
    <x v="18"/>
    <x v="18"/>
    <x v="23"/>
    <x v="23"/>
    <x v="23"/>
    <x v="23"/>
    <x v="5"/>
    <x v="211"/>
    <x v="213"/>
    <x v="132"/>
    <x v="273"/>
    <x v="65"/>
    <x v="82"/>
    <x v="0"/>
    <x v="0"/>
  </r>
  <r>
    <x v="18"/>
    <x v="0"/>
    <x v="0"/>
    <x v="3"/>
    <x v="18"/>
    <x v="18"/>
    <x v="2"/>
    <x v="2"/>
    <x v="2"/>
    <x v="2"/>
    <x v="5"/>
    <x v="211"/>
    <x v="213"/>
    <x v="94"/>
    <x v="271"/>
    <x v="61"/>
    <x v="62"/>
    <x v="0"/>
    <x v="0"/>
  </r>
  <r>
    <x v="18"/>
    <x v="0"/>
    <x v="0"/>
    <x v="3"/>
    <x v="18"/>
    <x v="18"/>
    <x v="3"/>
    <x v="3"/>
    <x v="3"/>
    <x v="3"/>
    <x v="9"/>
    <x v="212"/>
    <x v="148"/>
    <x v="114"/>
    <x v="274"/>
    <x v="56"/>
    <x v="179"/>
    <x v="0"/>
    <x v="0"/>
  </r>
  <r>
    <x v="18"/>
    <x v="0"/>
    <x v="0"/>
    <x v="3"/>
    <x v="18"/>
    <x v="18"/>
    <x v="9"/>
    <x v="9"/>
    <x v="9"/>
    <x v="9"/>
    <x v="10"/>
    <x v="213"/>
    <x v="78"/>
    <x v="93"/>
    <x v="275"/>
    <x v="55"/>
    <x v="8"/>
    <x v="0"/>
    <x v="0"/>
  </r>
  <r>
    <x v="18"/>
    <x v="0"/>
    <x v="0"/>
    <x v="3"/>
    <x v="18"/>
    <x v="18"/>
    <x v="21"/>
    <x v="21"/>
    <x v="21"/>
    <x v="21"/>
    <x v="11"/>
    <x v="214"/>
    <x v="214"/>
    <x v="114"/>
    <x v="274"/>
    <x v="61"/>
    <x v="62"/>
    <x v="0"/>
    <x v="0"/>
  </r>
  <r>
    <x v="18"/>
    <x v="0"/>
    <x v="0"/>
    <x v="3"/>
    <x v="18"/>
    <x v="18"/>
    <x v="13"/>
    <x v="13"/>
    <x v="13"/>
    <x v="13"/>
    <x v="12"/>
    <x v="215"/>
    <x v="194"/>
    <x v="54"/>
    <x v="276"/>
    <x v="59"/>
    <x v="155"/>
    <x v="0"/>
    <x v="0"/>
  </r>
  <r>
    <x v="18"/>
    <x v="0"/>
    <x v="0"/>
    <x v="3"/>
    <x v="18"/>
    <x v="18"/>
    <x v="16"/>
    <x v="16"/>
    <x v="16"/>
    <x v="16"/>
    <x v="12"/>
    <x v="215"/>
    <x v="194"/>
    <x v="91"/>
    <x v="134"/>
    <x v="65"/>
    <x v="82"/>
    <x v="0"/>
    <x v="0"/>
  </r>
  <r>
    <x v="18"/>
    <x v="0"/>
    <x v="0"/>
    <x v="3"/>
    <x v="18"/>
    <x v="18"/>
    <x v="29"/>
    <x v="29"/>
    <x v="29"/>
    <x v="29"/>
    <x v="14"/>
    <x v="216"/>
    <x v="31"/>
    <x v="118"/>
    <x v="12"/>
    <x v="56"/>
    <x v="179"/>
    <x v="0"/>
    <x v="0"/>
  </r>
  <r>
    <x v="18"/>
    <x v="0"/>
    <x v="0"/>
    <x v="3"/>
    <x v="18"/>
    <x v="18"/>
    <x v="18"/>
    <x v="18"/>
    <x v="18"/>
    <x v="18"/>
    <x v="14"/>
    <x v="216"/>
    <x v="31"/>
    <x v="133"/>
    <x v="277"/>
    <x v="60"/>
    <x v="224"/>
    <x v="0"/>
    <x v="0"/>
  </r>
  <r>
    <x v="18"/>
    <x v="0"/>
    <x v="0"/>
    <x v="3"/>
    <x v="18"/>
    <x v="18"/>
    <x v="7"/>
    <x v="7"/>
    <x v="7"/>
    <x v="7"/>
    <x v="14"/>
    <x v="216"/>
    <x v="31"/>
    <x v="74"/>
    <x v="278"/>
    <x v="65"/>
    <x v="82"/>
    <x v="0"/>
    <x v="0"/>
  </r>
  <r>
    <x v="18"/>
    <x v="0"/>
    <x v="0"/>
    <x v="3"/>
    <x v="18"/>
    <x v="18"/>
    <x v="41"/>
    <x v="41"/>
    <x v="41"/>
    <x v="41"/>
    <x v="14"/>
    <x v="216"/>
    <x v="31"/>
    <x v="89"/>
    <x v="87"/>
    <x v="61"/>
    <x v="62"/>
    <x v="0"/>
    <x v="0"/>
  </r>
  <r>
    <x v="18"/>
    <x v="0"/>
    <x v="0"/>
    <x v="3"/>
    <x v="18"/>
    <x v="18"/>
    <x v="25"/>
    <x v="25"/>
    <x v="25"/>
    <x v="25"/>
    <x v="18"/>
    <x v="217"/>
    <x v="215"/>
    <x v="54"/>
    <x v="276"/>
    <x v="56"/>
    <x v="179"/>
    <x v="0"/>
    <x v="0"/>
  </r>
  <r>
    <x v="18"/>
    <x v="0"/>
    <x v="0"/>
    <x v="3"/>
    <x v="18"/>
    <x v="18"/>
    <x v="42"/>
    <x v="42"/>
    <x v="42"/>
    <x v="42"/>
    <x v="19"/>
    <x v="218"/>
    <x v="216"/>
    <x v="133"/>
    <x v="277"/>
    <x v="74"/>
    <x v="227"/>
    <x v="0"/>
    <x v="0"/>
  </r>
  <r>
    <x v="18"/>
    <x v="0"/>
    <x v="0"/>
    <x v="3"/>
    <x v="18"/>
    <x v="18"/>
    <x v="43"/>
    <x v="43"/>
    <x v="43"/>
    <x v="43"/>
    <x v="19"/>
    <x v="218"/>
    <x v="216"/>
    <x v="187"/>
    <x v="279"/>
    <x v="60"/>
    <x v="224"/>
    <x v="0"/>
    <x v="0"/>
  </r>
  <r>
    <x v="18"/>
    <x v="0"/>
    <x v="0"/>
    <x v="3"/>
    <x v="18"/>
    <x v="18"/>
    <x v="11"/>
    <x v="11"/>
    <x v="11"/>
    <x v="11"/>
    <x v="19"/>
    <x v="218"/>
    <x v="216"/>
    <x v="54"/>
    <x v="276"/>
    <x v="65"/>
    <x v="82"/>
    <x v="0"/>
    <x v="0"/>
  </r>
  <r>
    <x v="19"/>
    <x v="0"/>
    <x v="0"/>
    <x v="3"/>
    <x v="19"/>
    <x v="19"/>
    <x v="44"/>
    <x v="44"/>
    <x v="44"/>
    <x v="44"/>
    <x v="0"/>
    <x v="219"/>
    <x v="217"/>
    <x v="202"/>
    <x v="130"/>
    <x v="79"/>
    <x v="228"/>
    <x v="0"/>
    <x v="0"/>
  </r>
  <r>
    <x v="19"/>
    <x v="0"/>
    <x v="0"/>
    <x v="3"/>
    <x v="19"/>
    <x v="19"/>
    <x v="2"/>
    <x v="2"/>
    <x v="2"/>
    <x v="2"/>
    <x v="1"/>
    <x v="220"/>
    <x v="218"/>
    <x v="203"/>
    <x v="280"/>
    <x v="79"/>
    <x v="228"/>
    <x v="5"/>
    <x v="24"/>
  </r>
  <r>
    <x v="19"/>
    <x v="0"/>
    <x v="0"/>
    <x v="3"/>
    <x v="19"/>
    <x v="19"/>
    <x v="0"/>
    <x v="0"/>
    <x v="0"/>
    <x v="0"/>
    <x v="1"/>
    <x v="220"/>
    <x v="218"/>
    <x v="183"/>
    <x v="281"/>
    <x v="56"/>
    <x v="229"/>
    <x v="0"/>
    <x v="0"/>
  </r>
  <r>
    <x v="19"/>
    <x v="0"/>
    <x v="0"/>
    <x v="3"/>
    <x v="19"/>
    <x v="19"/>
    <x v="45"/>
    <x v="45"/>
    <x v="45"/>
    <x v="45"/>
    <x v="3"/>
    <x v="81"/>
    <x v="21"/>
    <x v="204"/>
    <x v="282"/>
    <x v="53"/>
    <x v="230"/>
    <x v="0"/>
    <x v="0"/>
  </r>
  <r>
    <x v="19"/>
    <x v="0"/>
    <x v="0"/>
    <x v="3"/>
    <x v="19"/>
    <x v="19"/>
    <x v="3"/>
    <x v="3"/>
    <x v="3"/>
    <x v="3"/>
    <x v="4"/>
    <x v="63"/>
    <x v="219"/>
    <x v="109"/>
    <x v="283"/>
    <x v="65"/>
    <x v="91"/>
    <x v="0"/>
    <x v="0"/>
  </r>
  <r>
    <x v="19"/>
    <x v="0"/>
    <x v="0"/>
    <x v="3"/>
    <x v="19"/>
    <x v="19"/>
    <x v="1"/>
    <x v="1"/>
    <x v="1"/>
    <x v="1"/>
    <x v="5"/>
    <x v="84"/>
    <x v="220"/>
    <x v="65"/>
    <x v="191"/>
    <x v="58"/>
    <x v="113"/>
    <x v="0"/>
    <x v="0"/>
  </r>
  <r>
    <x v="19"/>
    <x v="0"/>
    <x v="0"/>
    <x v="3"/>
    <x v="19"/>
    <x v="19"/>
    <x v="4"/>
    <x v="4"/>
    <x v="4"/>
    <x v="4"/>
    <x v="6"/>
    <x v="65"/>
    <x v="221"/>
    <x v="205"/>
    <x v="145"/>
    <x v="69"/>
    <x v="188"/>
    <x v="0"/>
    <x v="0"/>
  </r>
  <r>
    <x v="19"/>
    <x v="0"/>
    <x v="0"/>
    <x v="3"/>
    <x v="19"/>
    <x v="19"/>
    <x v="6"/>
    <x v="6"/>
    <x v="6"/>
    <x v="6"/>
    <x v="7"/>
    <x v="49"/>
    <x v="222"/>
    <x v="46"/>
    <x v="284"/>
    <x v="61"/>
    <x v="62"/>
    <x v="0"/>
    <x v="0"/>
  </r>
  <r>
    <x v="19"/>
    <x v="0"/>
    <x v="0"/>
    <x v="3"/>
    <x v="19"/>
    <x v="19"/>
    <x v="42"/>
    <x v="42"/>
    <x v="42"/>
    <x v="42"/>
    <x v="8"/>
    <x v="68"/>
    <x v="91"/>
    <x v="111"/>
    <x v="285"/>
    <x v="67"/>
    <x v="231"/>
    <x v="0"/>
    <x v="0"/>
  </r>
  <r>
    <x v="19"/>
    <x v="0"/>
    <x v="0"/>
    <x v="3"/>
    <x v="19"/>
    <x v="19"/>
    <x v="5"/>
    <x v="5"/>
    <x v="5"/>
    <x v="5"/>
    <x v="9"/>
    <x v="95"/>
    <x v="149"/>
    <x v="125"/>
    <x v="286"/>
    <x v="59"/>
    <x v="232"/>
    <x v="0"/>
    <x v="0"/>
  </r>
  <r>
    <x v="19"/>
    <x v="0"/>
    <x v="0"/>
    <x v="3"/>
    <x v="19"/>
    <x v="19"/>
    <x v="10"/>
    <x v="10"/>
    <x v="10"/>
    <x v="10"/>
    <x v="10"/>
    <x v="52"/>
    <x v="223"/>
    <x v="76"/>
    <x v="162"/>
    <x v="134"/>
    <x v="233"/>
    <x v="0"/>
    <x v="0"/>
  </r>
  <r>
    <x v="19"/>
    <x v="0"/>
    <x v="0"/>
    <x v="3"/>
    <x v="19"/>
    <x v="19"/>
    <x v="25"/>
    <x v="25"/>
    <x v="25"/>
    <x v="25"/>
    <x v="10"/>
    <x v="52"/>
    <x v="223"/>
    <x v="110"/>
    <x v="125"/>
    <x v="103"/>
    <x v="97"/>
    <x v="0"/>
    <x v="0"/>
  </r>
  <r>
    <x v="19"/>
    <x v="0"/>
    <x v="0"/>
    <x v="3"/>
    <x v="19"/>
    <x v="19"/>
    <x v="7"/>
    <x v="7"/>
    <x v="7"/>
    <x v="7"/>
    <x v="12"/>
    <x v="104"/>
    <x v="80"/>
    <x v="111"/>
    <x v="285"/>
    <x v="85"/>
    <x v="145"/>
    <x v="0"/>
    <x v="0"/>
  </r>
  <r>
    <x v="19"/>
    <x v="0"/>
    <x v="0"/>
    <x v="3"/>
    <x v="19"/>
    <x v="19"/>
    <x v="8"/>
    <x v="8"/>
    <x v="8"/>
    <x v="8"/>
    <x v="13"/>
    <x v="86"/>
    <x v="141"/>
    <x v="199"/>
    <x v="287"/>
    <x v="61"/>
    <x v="62"/>
    <x v="0"/>
    <x v="0"/>
  </r>
  <r>
    <x v="19"/>
    <x v="0"/>
    <x v="0"/>
    <x v="3"/>
    <x v="19"/>
    <x v="19"/>
    <x v="18"/>
    <x v="18"/>
    <x v="18"/>
    <x v="18"/>
    <x v="14"/>
    <x v="221"/>
    <x v="224"/>
    <x v="53"/>
    <x v="92"/>
    <x v="81"/>
    <x v="234"/>
    <x v="0"/>
    <x v="0"/>
  </r>
  <r>
    <x v="19"/>
    <x v="0"/>
    <x v="0"/>
    <x v="3"/>
    <x v="19"/>
    <x v="19"/>
    <x v="9"/>
    <x v="9"/>
    <x v="9"/>
    <x v="9"/>
    <x v="15"/>
    <x v="69"/>
    <x v="159"/>
    <x v="102"/>
    <x v="140"/>
    <x v="65"/>
    <x v="91"/>
    <x v="0"/>
    <x v="0"/>
  </r>
  <r>
    <x v="19"/>
    <x v="0"/>
    <x v="0"/>
    <x v="3"/>
    <x v="19"/>
    <x v="19"/>
    <x v="19"/>
    <x v="19"/>
    <x v="19"/>
    <x v="19"/>
    <x v="16"/>
    <x v="54"/>
    <x v="181"/>
    <x v="110"/>
    <x v="125"/>
    <x v="44"/>
    <x v="122"/>
    <x v="0"/>
    <x v="0"/>
  </r>
  <r>
    <x v="19"/>
    <x v="0"/>
    <x v="0"/>
    <x v="3"/>
    <x v="19"/>
    <x v="19"/>
    <x v="46"/>
    <x v="46"/>
    <x v="46"/>
    <x v="46"/>
    <x v="17"/>
    <x v="70"/>
    <x v="142"/>
    <x v="34"/>
    <x v="11"/>
    <x v="74"/>
    <x v="112"/>
    <x v="0"/>
    <x v="0"/>
  </r>
  <r>
    <x v="19"/>
    <x v="0"/>
    <x v="0"/>
    <x v="3"/>
    <x v="19"/>
    <x v="19"/>
    <x v="29"/>
    <x v="29"/>
    <x v="29"/>
    <x v="29"/>
    <x v="18"/>
    <x v="145"/>
    <x v="13"/>
    <x v="201"/>
    <x v="50"/>
    <x v="74"/>
    <x v="112"/>
    <x v="0"/>
    <x v="0"/>
  </r>
  <r>
    <x v="19"/>
    <x v="0"/>
    <x v="0"/>
    <x v="3"/>
    <x v="19"/>
    <x v="19"/>
    <x v="13"/>
    <x v="13"/>
    <x v="13"/>
    <x v="13"/>
    <x v="18"/>
    <x v="145"/>
    <x v="13"/>
    <x v="119"/>
    <x v="288"/>
    <x v="64"/>
    <x v="224"/>
    <x v="0"/>
    <x v="0"/>
  </r>
  <r>
    <x v="20"/>
    <x v="0"/>
    <x v="0"/>
    <x v="3"/>
    <x v="20"/>
    <x v="20"/>
    <x v="0"/>
    <x v="0"/>
    <x v="0"/>
    <x v="0"/>
    <x v="0"/>
    <x v="222"/>
    <x v="225"/>
    <x v="189"/>
    <x v="289"/>
    <x v="58"/>
    <x v="235"/>
    <x v="0"/>
    <x v="0"/>
  </r>
  <r>
    <x v="20"/>
    <x v="0"/>
    <x v="0"/>
    <x v="3"/>
    <x v="20"/>
    <x v="20"/>
    <x v="2"/>
    <x v="2"/>
    <x v="2"/>
    <x v="2"/>
    <x v="1"/>
    <x v="194"/>
    <x v="226"/>
    <x v="206"/>
    <x v="290"/>
    <x v="75"/>
    <x v="236"/>
    <x v="5"/>
    <x v="21"/>
  </r>
  <r>
    <x v="20"/>
    <x v="0"/>
    <x v="0"/>
    <x v="3"/>
    <x v="20"/>
    <x v="20"/>
    <x v="1"/>
    <x v="1"/>
    <x v="1"/>
    <x v="1"/>
    <x v="2"/>
    <x v="223"/>
    <x v="227"/>
    <x v="207"/>
    <x v="291"/>
    <x v="51"/>
    <x v="237"/>
    <x v="0"/>
    <x v="0"/>
  </r>
  <r>
    <x v="20"/>
    <x v="0"/>
    <x v="0"/>
    <x v="3"/>
    <x v="20"/>
    <x v="20"/>
    <x v="5"/>
    <x v="5"/>
    <x v="5"/>
    <x v="5"/>
    <x v="3"/>
    <x v="197"/>
    <x v="228"/>
    <x v="208"/>
    <x v="292"/>
    <x v="81"/>
    <x v="12"/>
    <x v="0"/>
    <x v="0"/>
  </r>
  <r>
    <x v="20"/>
    <x v="0"/>
    <x v="0"/>
    <x v="3"/>
    <x v="20"/>
    <x v="20"/>
    <x v="6"/>
    <x v="6"/>
    <x v="6"/>
    <x v="6"/>
    <x v="4"/>
    <x v="79"/>
    <x v="192"/>
    <x v="209"/>
    <x v="293"/>
    <x v="60"/>
    <x v="238"/>
    <x v="0"/>
    <x v="0"/>
  </r>
  <r>
    <x v="20"/>
    <x v="0"/>
    <x v="0"/>
    <x v="3"/>
    <x v="20"/>
    <x v="20"/>
    <x v="8"/>
    <x v="8"/>
    <x v="8"/>
    <x v="8"/>
    <x v="5"/>
    <x v="224"/>
    <x v="105"/>
    <x v="97"/>
    <x v="294"/>
    <x v="74"/>
    <x v="239"/>
    <x v="0"/>
    <x v="0"/>
  </r>
  <r>
    <x v="20"/>
    <x v="0"/>
    <x v="0"/>
    <x v="3"/>
    <x v="20"/>
    <x v="20"/>
    <x v="4"/>
    <x v="4"/>
    <x v="4"/>
    <x v="4"/>
    <x v="6"/>
    <x v="90"/>
    <x v="26"/>
    <x v="46"/>
    <x v="295"/>
    <x v="78"/>
    <x v="240"/>
    <x v="0"/>
    <x v="0"/>
  </r>
  <r>
    <x v="20"/>
    <x v="0"/>
    <x v="0"/>
    <x v="3"/>
    <x v="20"/>
    <x v="20"/>
    <x v="23"/>
    <x v="23"/>
    <x v="23"/>
    <x v="23"/>
    <x v="7"/>
    <x v="102"/>
    <x v="140"/>
    <x v="36"/>
    <x v="296"/>
    <x v="83"/>
    <x v="133"/>
    <x v="0"/>
    <x v="0"/>
  </r>
  <r>
    <x v="20"/>
    <x v="0"/>
    <x v="0"/>
    <x v="3"/>
    <x v="20"/>
    <x v="20"/>
    <x v="7"/>
    <x v="7"/>
    <x v="7"/>
    <x v="7"/>
    <x v="7"/>
    <x v="102"/>
    <x v="140"/>
    <x v="36"/>
    <x v="296"/>
    <x v="83"/>
    <x v="133"/>
    <x v="0"/>
    <x v="0"/>
  </r>
  <r>
    <x v="20"/>
    <x v="0"/>
    <x v="0"/>
    <x v="3"/>
    <x v="20"/>
    <x v="20"/>
    <x v="9"/>
    <x v="9"/>
    <x v="9"/>
    <x v="9"/>
    <x v="9"/>
    <x v="225"/>
    <x v="120"/>
    <x v="109"/>
    <x v="25"/>
    <x v="59"/>
    <x v="241"/>
    <x v="0"/>
    <x v="0"/>
  </r>
  <r>
    <x v="20"/>
    <x v="0"/>
    <x v="0"/>
    <x v="3"/>
    <x v="20"/>
    <x v="20"/>
    <x v="3"/>
    <x v="3"/>
    <x v="3"/>
    <x v="3"/>
    <x v="10"/>
    <x v="209"/>
    <x v="229"/>
    <x v="178"/>
    <x v="84"/>
    <x v="55"/>
    <x v="55"/>
    <x v="0"/>
    <x v="0"/>
  </r>
  <r>
    <x v="20"/>
    <x v="0"/>
    <x v="0"/>
    <x v="3"/>
    <x v="20"/>
    <x v="20"/>
    <x v="13"/>
    <x v="13"/>
    <x v="13"/>
    <x v="13"/>
    <x v="11"/>
    <x v="47"/>
    <x v="79"/>
    <x v="68"/>
    <x v="248"/>
    <x v="82"/>
    <x v="242"/>
    <x v="0"/>
    <x v="0"/>
  </r>
  <r>
    <x v="20"/>
    <x v="0"/>
    <x v="0"/>
    <x v="3"/>
    <x v="20"/>
    <x v="20"/>
    <x v="17"/>
    <x v="17"/>
    <x v="17"/>
    <x v="17"/>
    <x v="12"/>
    <x v="186"/>
    <x v="123"/>
    <x v="50"/>
    <x v="250"/>
    <x v="63"/>
    <x v="243"/>
    <x v="0"/>
    <x v="0"/>
  </r>
  <r>
    <x v="20"/>
    <x v="0"/>
    <x v="0"/>
    <x v="3"/>
    <x v="20"/>
    <x v="20"/>
    <x v="10"/>
    <x v="10"/>
    <x v="10"/>
    <x v="10"/>
    <x v="13"/>
    <x v="67"/>
    <x v="97"/>
    <x v="50"/>
    <x v="250"/>
    <x v="88"/>
    <x v="222"/>
    <x v="0"/>
    <x v="0"/>
  </r>
  <r>
    <x v="20"/>
    <x v="0"/>
    <x v="0"/>
    <x v="3"/>
    <x v="20"/>
    <x v="20"/>
    <x v="14"/>
    <x v="14"/>
    <x v="14"/>
    <x v="14"/>
    <x v="13"/>
    <x v="67"/>
    <x v="97"/>
    <x v="75"/>
    <x v="297"/>
    <x v="41"/>
    <x v="210"/>
    <x v="0"/>
    <x v="0"/>
  </r>
  <r>
    <x v="20"/>
    <x v="0"/>
    <x v="0"/>
    <x v="3"/>
    <x v="20"/>
    <x v="20"/>
    <x v="16"/>
    <x v="16"/>
    <x v="16"/>
    <x v="16"/>
    <x v="13"/>
    <x v="67"/>
    <x v="97"/>
    <x v="52"/>
    <x v="87"/>
    <x v="71"/>
    <x v="16"/>
    <x v="0"/>
    <x v="0"/>
  </r>
  <r>
    <x v="20"/>
    <x v="0"/>
    <x v="0"/>
    <x v="3"/>
    <x v="20"/>
    <x v="20"/>
    <x v="19"/>
    <x v="19"/>
    <x v="19"/>
    <x v="19"/>
    <x v="16"/>
    <x v="94"/>
    <x v="151"/>
    <x v="73"/>
    <x v="149"/>
    <x v="116"/>
    <x v="138"/>
    <x v="0"/>
    <x v="0"/>
  </r>
  <r>
    <x v="20"/>
    <x v="0"/>
    <x v="0"/>
    <x v="3"/>
    <x v="20"/>
    <x v="20"/>
    <x v="35"/>
    <x v="35"/>
    <x v="35"/>
    <x v="35"/>
    <x v="17"/>
    <x v="85"/>
    <x v="112"/>
    <x v="120"/>
    <x v="298"/>
    <x v="77"/>
    <x v="35"/>
    <x v="0"/>
    <x v="0"/>
  </r>
  <r>
    <x v="20"/>
    <x v="0"/>
    <x v="0"/>
    <x v="3"/>
    <x v="20"/>
    <x v="20"/>
    <x v="15"/>
    <x v="15"/>
    <x v="15"/>
    <x v="15"/>
    <x v="18"/>
    <x v="119"/>
    <x v="133"/>
    <x v="93"/>
    <x v="177"/>
    <x v="95"/>
    <x v="31"/>
    <x v="0"/>
    <x v="0"/>
  </r>
  <r>
    <x v="20"/>
    <x v="0"/>
    <x v="0"/>
    <x v="3"/>
    <x v="20"/>
    <x v="20"/>
    <x v="11"/>
    <x v="11"/>
    <x v="11"/>
    <x v="11"/>
    <x v="19"/>
    <x v="144"/>
    <x v="53"/>
    <x v="75"/>
    <x v="297"/>
    <x v="40"/>
    <x v="157"/>
    <x v="0"/>
    <x v="0"/>
  </r>
  <r>
    <x v="21"/>
    <x v="0"/>
    <x v="0"/>
    <x v="3"/>
    <x v="21"/>
    <x v="21"/>
    <x v="0"/>
    <x v="0"/>
    <x v="0"/>
    <x v="0"/>
    <x v="0"/>
    <x v="97"/>
    <x v="230"/>
    <x v="112"/>
    <x v="299"/>
    <x v="74"/>
    <x v="217"/>
    <x v="0"/>
    <x v="0"/>
  </r>
  <r>
    <x v="21"/>
    <x v="0"/>
    <x v="0"/>
    <x v="3"/>
    <x v="21"/>
    <x v="21"/>
    <x v="6"/>
    <x v="6"/>
    <x v="6"/>
    <x v="6"/>
    <x v="1"/>
    <x v="71"/>
    <x v="231"/>
    <x v="106"/>
    <x v="300"/>
    <x v="65"/>
    <x v="194"/>
    <x v="0"/>
    <x v="0"/>
  </r>
  <r>
    <x v="21"/>
    <x v="0"/>
    <x v="0"/>
    <x v="3"/>
    <x v="21"/>
    <x v="21"/>
    <x v="4"/>
    <x v="4"/>
    <x v="4"/>
    <x v="4"/>
    <x v="2"/>
    <x v="109"/>
    <x v="183"/>
    <x v="73"/>
    <x v="301"/>
    <x v="79"/>
    <x v="210"/>
    <x v="0"/>
    <x v="0"/>
  </r>
  <r>
    <x v="21"/>
    <x v="0"/>
    <x v="0"/>
    <x v="3"/>
    <x v="21"/>
    <x v="21"/>
    <x v="2"/>
    <x v="2"/>
    <x v="2"/>
    <x v="2"/>
    <x v="3"/>
    <x v="208"/>
    <x v="146"/>
    <x v="119"/>
    <x v="302"/>
    <x v="65"/>
    <x v="194"/>
    <x v="5"/>
    <x v="23"/>
  </r>
  <r>
    <x v="21"/>
    <x v="0"/>
    <x v="0"/>
    <x v="3"/>
    <x v="21"/>
    <x v="21"/>
    <x v="10"/>
    <x v="10"/>
    <x v="10"/>
    <x v="10"/>
    <x v="4"/>
    <x v="202"/>
    <x v="207"/>
    <x v="133"/>
    <x v="149"/>
    <x v="62"/>
    <x v="244"/>
    <x v="0"/>
    <x v="0"/>
  </r>
  <r>
    <x v="21"/>
    <x v="0"/>
    <x v="0"/>
    <x v="3"/>
    <x v="21"/>
    <x v="21"/>
    <x v="1"/>
    <x v="1"/>
    <x v="1"/>
    <x v="1"/>
    <x v="4"/>
    <x v="202"/>
    <x v="207"/>
    <x v="179"/>
    <x v="83"/>
    <x v="59"/>
    <x v="45"/>
    <x v="0"/>
    <x v="0"/>
  </r>
  <r>
    <x v="21"/>
    <x v="0"/>
    <x v="0"/>
    <x v="3"/>
    <x v="21"/>
    <x v="21"/>
    <x v="7"/>
    <x v="7"/>
    <x v="7"/>
    <x v="7"/>
    <x v="6"/>
    <x v="205"/>
    <x v="91"/>
    <x v="132"/>
    <x v="207"/>
    <x v="74"/>
    <x v="217"/>
    <x v="0"/>
    <x v="0"/>
  </r>
  <r>
    <x v="21"/>
    <x v="0"/>
    <x v="0"/>
    <x v="3"/>
    <x v="21"/>
    <x v="21"/>
    <x v="13"/>
    <x v="13"/>
    <x v="13"/>
    <x v="13"/>
    <x v="7"/>
    <x v="226"/>
    <x v="131"/>
    <x v="114"/>
    <x v="303"/>
    <x v="85"/>
    <x v="245"/>
    <x v="0"/>
    <x v="0"/>
  </r>
  <r>
    <x v="21"/>
    <x v="0"/>
    <x v="0"/>
    <x v="3"/>
    <x v="21"/>
    <x v="21"/>
    <x v="9"/>
    <x v="9"/>
    <x v="9"/>
    <x v="9"/>
    <x v="7"/>
    <x v="226"/>
    <x v="131"/>
    <x v="108"/>
    <x v="284"/>
    <x v="65"/>
    <x v="194"/>
    <x v="0"/>
    <x v="0"/>
  </r>
  <r>
    <x v="21"/>
    <x v="0"/>
    <x v="0"/>
    <x v="3"/>
    <x v="21"/>
    <x v="21"/>
    <x v="5"/>
    <x v="5"/>
    <x v="5"/>
    <x v="5"/>
    <x v="9"/>
    <x v="227"/>
    <x v="169"/>
    <x v="114"/>
    <x v="303"/>
    <x v="59"/>
    <x v="45"/>
    <x v="0"/>
    <x v="0"/>
  </r>
  <r>
    <x v="21"/>
    <x v="0"/>
    <x v="0"/>
    <x v="3"/>
    <x v="21"/>
    <x v="21"/>
    <x v="11"/>
    <x v="11"/>
    <x v="11"/>
    <x v="11"/>
    <x v="10"/>
    <x v="228"/>
    <x v="80"/>
    <x v="91"/>
    <x v="304"/>
    <x v="75"/>
    <x v="156"/>
    <x v="0"/>
    <x v="0"/>
  </r>
  <r>
    <x v="21"/>
    <x v="0"/>
    <x v="0"/>
    <x v="3"/>
    <x v="21"/>
    <x v="21"/>
    <x v="18"/>
    <x v="18"/>
    <x v="18"/>
    <x v="18"/>
    <x v="10"/>
    <x v="228"/>
    <x v="80"/>
    <x v="91"/>
    <x v="304"/>
    <x v="75"/>
    <x v="156"/>
    <x v="0"/>
    <x v="0"/>
  </r>
  <r>
    <x v="21"/>
    <x v="0"/>
    <x v="0"/>
    <x v="3"/>
    <x v="21"/>
    <x v="21"/>
    <x v="19"/>
    <x v="19"/>
    <x v="19"/>
    <x v="19"/>
    <x v="12"/>
    <x v="212"/>
    <x v="232"/>
    <x v="74"/>
    <x v="305"/>
    <x v="75"/>
    <x v="156"/>
    <x v="0"/>
    <x v="0"/>
  </r>
  <r>
    <x v="21"/>
    <x v="0"/>
    <x v="0"/>
    <x v="3"/>
    <x v="21"/>
    <x v="21"/>
    <x v="21"/>
    <x v="21"/>
    <x v="21"/>
    <x v="21"/>
    <x v="12"/>
    <x v="212"/>
    <x v="232"/>
    <x v="90"/>
    <x v="136"/>
    <x v="55"/>
    <x v="246"/>
    <x v="0"/>
    <x v="0"/>
  </r>
  <r>
    <x v="21"/>
    <x v="0"/>
    <x v="0"/>
    <x v="3"/>
    <x v="21"/>
    <x v="21"/>
    <x v="47"/>
    <x v="47"/>
    <x v="47"/>
    <x v="47"/>
    <x v="14"/>
    <x v="213"/>
    <x v="159"/>
    <x v="72"/>
    <x v="306"/>
    <x v="45"/>
    <x v="247"/>
    <x v="0"/>
    <x v="0"/>
  </r>
  <r>
    <x v="21"/>
    <x v="0"/>
    <x v="0"/>
    <x v="3"/>
    <x v="21"/>
    <x v="21"/>
    <x v="42"/>
    <x v="42"/>
    <x v="42"/>
    <x v="42"/>
    <x v="15"/>
    <x v="229"/>
    <x v="50"/>
    <x v="116"/>
    <x v="38"/>
    <x v="50"/>
    <x v="248"/>
    <x v="0"/>
    <x v="0"/>
  </r>
  <r>
    <x v="21"/>
    <x v="0"/>
    <x v="0"/>
    <x v="3"/>
    <x v="21"/>
    <x v="21"/>
    <x v="29"/>
    <x v="29"/>
    <x v="29"/>
    <x v="29"/>
    <x v="15"/>
    <x v="229"/>
    <x v="50"/>
    <x v="107"/>
    <x v="307"/>
    <x v="65"/>
    <x v="194"/>
    <x v="0"/>
    <x v="0"/>
  </r>
  <r>
    <x v="21"/>
    <x v="0"/>
    <x v="0"/>
    <x v="3"/>
    <x v="21"/>
    <x v="21"/>
    <x v="12"/>
    <x v="12"/>
    <x v="12"/>
    <x v="12"/>
    <x v="17"/>
    <x v="214"/>
    <x v="71"/>
    <x v="107"/>
    <x v="307"/>
    <x v="55"/>
    <x v="246"/>
    <x v="0"/>
    <x v="0"/>
  </r>
  <r>
    <x v="21"/>
    <x v="0"/>
    <x v="0"/>
    <x v="3"/>
    <x v="21"/>
    <x v="21"/>
    <x v="23"/>
    <x v="23"/>
    <x v="23"/>
    <x v="23"/>
    <x v="17"/>
    <x v="214"/>
    <x v="71"/>
    <x v="114"/>
    <x v="303"/>
    <x v="61"/>
    <x v="62"/>
    <x v="0"/>
    <x v="0"/>
  </r>
  <r>
    <x v="21"/>
    <x v="0"/>
    <x v="0"/>
    <x v="3"/>
    <x v="21"/>
    <x v="21"/>
    <x v="3"/>
    <x v="3"/>
    <x v="3"/>
    <x v="3"/>
    <x v="17"/>
    <x v="214"/>
    <x v="71"/>
    <x v="114"/>
    <x v="303"/>
    <x v="61"/>
    <x v="62"/>
    <x v="0"/>
    <x v="0"/>
  </r>
  <r>
    <x v="21"/>
    <x v="0"/>
    <x v="0"/>
    <x v="3"/>
    <x v="21"/>
    <x v="21"/>
    <x v="16"/>
    <x v="16"/>
    <x v="16"/>
    <x v="16"/>
    <x v="17"/>
    <x v="214"/>
    <x v="71"/>
    <x v="107"/>
    <x v="307"/>
    <x v="55"/>
    <x v="246"/>
    <x v="0"/>
    <x v="0"/>
  </r>
  <r>
    <x v="22"/>
    <x v="0"/>
    <x v="0"/>
    <x v="3"/>
    <x v="22"/>
    <x v="22"/>
    <x v="48"/>
    <x v="48"/>
    <x v="48"/>
    <x v="48"/>
    <x v="0"/>
    <x v="185"/>
    <x v="233"/>
    <x v="110"/>
    <x v="131"/>
    <x v="104"/>
    <x v="249"/>
    <x v="0"/>
    <x v="0"/>
  </r>
  <r>
    <x v="22"/>
    <x v="0"/>
    <x v="0"/>
    <x v="3"/>
    <x v="22"/>
    <x v="22"/>
    <x v="0"/>
    <x v="0"/>
    <x v="0"/>
    <x v="0"/>
    <x v="1"/>
    <x v="104"/>
    <x v="234"/>
    <x v="102"/>
    <x v="308"/>
    <x v="83"/>
    <x v="30"/>
    <x v="0"/>
    <x v="0"/>
  </r>
  <r>
    <x v="22"/>
    <x v="0"/>
    <x v="0"/>
    <x v="3"/>
    <x v="22"/>
    <x v="22"/>
    <x v="6"/>
    <x v="6"/>
    <x v="6"/>
    <x v="6"/>
    <x v="2"/>
    <x v="55"/>
    <x v="227"/>
    <x v="100"/>
    <x v="309"/>
    <x v="61"/>
    <x v="62"/>
    <x v="0"/>
    <x v="0"/>
  </r>
  <r>
    <x v="22"/>
    <x v="0"/>
    <x v="0"/>
    <x v="3"/>
    <x v="22"/>
    <x v="22"/>
    <x v="49"/>
    <x v="49"/>
    <x v="49"/>
    <x v="49"/>
    <x v="3"/>
    <x v="124"/>
    <x v="213"/>
    <x v="76"/>
    <x v="303"/>
    <x v="58"/>
    <x v="120"/>
    <x v="0"/>
    <x v="0"/>
  </r>
  <r>
    <x v="22"/>
    <x v="0"/>
    <x v="0"/>
    <x v="3"/>
    <x v="22"/>
    <x v="22"/>
    <x v="13"/>
    <x v="13"/>
    <x v="13"/>
    <x v="13"/>
    <x v="4"/>
    <x v="107"/>
    <x v="104"/>
    <x v="117"/>
    <x v="133"/>
    <x v="44"/>
    <x v="250"/>
    <x v="0"/>
    <x v="0"/>
  </r>
  <r>
    <x v="22"/>
    <x v="0"/>
    <x v="0"/>
    <x v="3"/>
    <x v="22"/>
    <x v="22"/>
    <x v="4"/>
    <x v="4"/>
    <x v="4"/>
    <x v="4"/>
    <x v="5"/>
    <x v="108"/>
    <x v="118"/>
    <x v="75"/>
    <x v="111"/>
    <x v="85"/>
    <x v="37"/>
    <x v="0"/>
    <x v="0"/>
  </r>
  <r>
    <x v="22"/>
    <x v="0"/>
    <x v="0"/>
    <x v="3"/>
    <x v="22"/>
    <x v="22"/>
    <x v="7"/>
    <x v="7"/>
    <x v="7"/>
    <x v="7"/>
    <x v="6"/>
    <x v="110"/>
    <x v="235"/>
    <x v="115"/>
    <x v="310"/>
    <x v="56"/>
    <x v="51"/>
    <x v="0"/>
    <x v="0"/>
  </r>
  <r>
    <x v="22"/>
    <x v="0"/>
    <x v="0"/>
    <x v="3"/>
    <x v="22"/>
    <x v="22"/>
    <x v="10"/>
    <x v="10"/>
    <x v="10"/>
    <x v="10"/>
    <x v="7"/>
    <x v="113"/>
    <x v="236"/>
    <x v="74"/>
    <x v="47"/>
    <x v="62"/>
    <x v="251"/>
    <x v="0"/>
    <x v="0"/>
  </r>
  <r>
    <x v="22"/>
    <x v="0"/>
    <x v="0"/>
    <x v="3"/>
    <x v="22"/>
    <x v="22"/>
    <x v="50"/>
    <x v="50"/>
    <x v="50"/>
    <x v="50"/>
    <x v="8"/>
    <x v="114"/>
    <x v="79"/>
    <x v="146"/>
    <x v="274"/>
    <x v="65"/>
    <x v="104"/>
    <x v="0"/>
    <x v="0"/>
  </r>
  <r>
    <x v="22"/>
    <x v="0"/>
    <x v="0"/>
    <x v="3"/>
    <x v="22"/>
    <x v="22"/>
    <x v="19"/>
    <x v="19"/>
    <x v="19"/>
    <x v="19"/>
    <x v="9"/>
    <x v="200"/>
    <x v="28"/>
    <x v="94"/>
    <x v="311"/>
    <x v="83"/>
    <x v="30"/>
    <x v="0"/>
    <x v="0"/>
  </r>
  <r>
    <x v="22"/>
    <x v="0"/>
    <x v="0"/>
    <x v="3"/>
    <x v="22"/>
    <x v="22"/>
    <x v="8"/>
    <x v="8"/>
    <x v="8"/>
    <x v="8"/>
    <x v="10"/>
    <x v="230"/>
    <x v="96"/>
    <x v="76"/>
    <x v="303"/>
    <x v="65"/>
    <x v="104"/>
    <x v="0"/>
    <x v="0"/>
  </r>
  <r>
    <x v="22"/>
    <x v="0"/>
    <x v="0"/>
    <x v="3"/>
    <x v="22"/>
    <x v="22"/>
    <x v="2"/>
    <x v="2"/>
    <x v="2"/>
    <x v="2"/>
    <x v="10"/>
    <x v="230"/>
    <x v="96"/>
    <x v="76"/>
    <x v="303"/>
    <x v="65"/>
    <x v="104"/>
    <x v="0"/>
    <x v="0"/>
  </r>
  <r>
    <x v="22"/>
    <x v="0"/>
    <x v="0"/>
    <x v="3"/>
    <x v="22"/>
    <x v="22"/>
    <x v="51"/>
    <x v="51"/>
    <x v="51"/>
    <x v="51"/>
    <x v="12"/>
    <x v="204"/>
    <x v="11"/>
    <x v="90"/>
    <x v="312"/>
    <x v="85"/>
    <x v="37"/>
    <x v="0"/>
    <x v="0"/>
  </r>
  <r>
    <x v="22"/>
    <x v="0"/>
    <x v="0"/>
    <x v="3"/>
    <x v="22"/>
    <x v="22"/>
    <x v="34"/>
    <x v="34"/>
    <x v="34"/>
    <x v="34"/>
    <x v="12"/>
    <x v="204"/>
    <x v="11"/>
    <x v="107"/>
    <x v="305"/>
    <x v="79"/>
    <x v="25"/>
    <x v="0"/>
    <x v="0"/>
  </r>
  <r>
    <x v="22"/>
    <x v="0"/>
    <x v="0"/>
    <x v="3"/>
    <x v="22"/>
    <x v="22"/>
    <x v="18"/>
    <x v="18"/>
    <x v="18"/>
    <x v="18"/>
    <x v="14"/>
    <x v="205"/>
    <x v="30"/>
    <x v="89"/>
    <x v="183"/>
    <x v="50"/>
    <x v="41"/>
    <x v="0"/>
    <x v="0"/>
  </r>
  <r>
    <x v="22"/>
    <x v="0"/>
    <x v="0"/>
    <x v="3"/>
    <x v="22"/>
    <x v="22"/>
    <x v="3"/>
    <x v="3"/>
    <x v="3"/>
    <x v="3"/>
    <x v="15"/>
    <x v="211"/>
    <x v="112"/>
    <x v="94"/>
    <x v="311"/>
    <x v="61"/>
    <x v="62"/>
    <x v="0"/>
    <x v="0"/>
  </r>
  <r>
    <x v="22"/>
    <x v="0"/>
    <x v="0"/>
    <x v="3"/>
    <x v="22"/>
    <x v="22"/>
    <x v="17"/>
    <x v="17"/>
    <x v="17"/>
    <x v="17"/>
    <x v="16"/>
    <x v="227"/>
    <x v="143"/>
    <x v="118"/>
    <x v="149"/>
    <x v="50"/>
    <x v="41"/>
    <x v="0"/>
    <x v="0"/>
  </r>
  <r>
    <x v="22"/>
    <x v="0"/>
    <x v="0"/>
    <x v="3"/>
    <x v="22"/>
    <x v="22"/>
    <x v="16"/>
    <x v="16"/>
    <x v="16"/>
    <x v="16"/>
    <x v="16"/>
    <x v="227"/>
    <x v="143"/>
    <x v="90"/>
    <x v="312"/>
    <x v="56"/>
    <x v="51"/>
    <x v="0"/>
    <x v="0"/>
  </r>
  <r>
    <x v="22"/>
    <x v="0"/>
    <x v="0"/>
    <x v="3"/>
    <x v="22"/>
    <x v="22"/>
    <x v="41"/>
    <x v="41"/>
    <x v="41"/>
    <x v="41"/>
    <x v="16"/>
    <x v="227"/>
    <x v="143"/>
    <x v="151"/>
    <x v="216"/>
    <x v="85"/>
    <x v="37"/>
    <x v="0"/>
    <x v="0"/>
  </r>
  <r>
    <x v="22"/>
    <x v="0"/>
    <x v="0"/>
    <x v="3"/>
    <x v="22"/>
    <x v="22"/>
    <x v="1"/>
    <x v="1"/>
    <x v="1"/>
    <x v="1"/>
    <x v="19"/>
    <x v="228"/>
    <x v="14"/>
    <x v="91"/>
    <x v="240"/>
    <x v="75"/>
    <x v="252"/>
    <x v="0"/>
    <x v="0"/>
  </r>
  <r>
    <x v="22"/>
    <x v="0"/>
    <x v="0"/>
    <x v="3"/>
    <x v="22"/>
    <x v="22"/>
    <x v="5"/>
    <x v="5"/>
    <x v="5"/>
    <x v="5"/>
    <x v="19"/>
    <x v="228"/>
    <x v="14"/>
    <x v="114"/>
    <x v="313"/>
    <x v="74"/>
    <x v="48"/>
    <x v="0"/>
    <x v="0"/>
  </r>
  <r>
    <x v="23"/>
    <x v="0"/>
    <x v="0"/>
    <x v="3"/>
    <x v="23"/>
    <x v="23"/>
    <x v="0"/>
    <x v="0"/>
    <x v="0"/>
    <x v="0"/>
    <x v="0"/>
    <x v="231"/>
    <x v="237"/>
    <x v="138"/>
    <x v="314"/>
    <x v="67"/>
    <x v="253"/>
    <x v="0"/>
    <x v="0"/>
  </r>
  <r>
    <x v="23"/>
    <x v="0"/>
    <x v="0"/>
    <x v="3"/>
    <x v="23"/>
    <x v="23"/>
    <x v="1"/>
    <x v="1"/>
    <x v="1"/>
    <x v="1"/>
    <x v="1"/>
    <x v="181"/>
    <x v="238"/>
    <x v="205"/>
    <x v="315"/>
    <x v="135"/>
    <x v="254"/>
    <x v="0"/>
    <x v="0"/>
  </r>
  <r>
    <x v="23"/>
    <x v="0"/>
    <x v="0"/>
    <x v="3"/>
    <x v="23"/>
    <x v="23"/>
    <x v="2"/>
    <x v="2"/>
    <x v="2"/>
    <x v="2"/>
    <x v="2"/>
    <x v="44"/>
    <x v="239"/>
    <x v="84"/>
    <x v="316"/>
    <x v="72"/>
    <x v="16"/>
    <x v="0"/>
    <x v="0"/>
  </r>
  <r>
    <x v="23"/>
    <x v="0"/>
    <x v="0"/>
    <x v="3"/>
    <x v="23"/>
    <x v="23"/>
    <x v="20"/>
    <x v="20"/>
    <x v="20"/>
    <x v="20"/>
    <x v="3"/>
    <x v="63"/>
    <x v="240"/>
    <x v="72"/>
    <x v="317"/>
    <x v="89"/>
    <x v="255"/>
    <x v="5"/>
    <x v="17"/>
  </r>
  <r>
    <x v="23"/>
    <x v="0"/>
    <x v="0"/>
    <x v="3"/>
    <x v="23"/>
    <x v="23"/>
    <x v="4"/>
    <x v="4"/>
    <x v="4"/>
    <x v="4"/>
    <x v="4"/>
    <x v="47"/>
    <x v="62"/>
    <x v="167"/>
    <x v="318"/>
    <x v="105"/>
    <x v="252"/>
    <x v="0"/>
    <x v="0"/>
  </r>
  <r>
    <x v="23"/>
    <x v="0"/>
    <x v="0"/>
    <x v="3"/>
    <x v="23"/>
    <x v="23"/>
    <x v="10"/>
    <x v="10"/>
    <x v="10"/>
    <x v="10"/>
    <x v="5"/>
    <x v="91"/>
    <x v="241"/>
    <x v="73"/>
    <x v="146"/>
    <x v="130"/>
    <x v="256"/>
    <x v="0"/>
    <x v="0"/>
  </r>
  <r>
    <x v="23"/>
    <x v="0"/>
    <x v="0"/>
    <x v="3"/>
    <x v="23"/>
    <x v="23"/>
    <x v="9"/>
    <x v="9"/>
    <x v="9"/>
    <x v="9"/>
    <x v="5"/>
    <x v="91"/>
    <x v="241"/>
    <x v="204"/>
    <x v="319"/>
    <x v="83"/>
    <x v="80"/>
    <x v="0"/>
    <x v="0"/>
  </r>
  <r>
    <x v="23"/>
    <x v="0"/>
    <x v="0"/>
    <x v="3"/>
    <x v="23"/>
    <x v="23"/>
    <x v="5"/>
    <x v="5"/>
    <x v="5"/>
    <x v="5"/>
    <x v="7"/>
    <x v="232"/>
    <x v="127"/>
    <x v="123"/>
    <x v="320"/>
    <x v="67"/>
    <x v="253"/>
    <x v="0"/>
    <x v="0"/>
  </r>
  <r>
    <x v="23"/>
    <x v="0"/>
    <x v="0"/>
    <x v="3"/>
    <x v="23"/>
    <x v="23"/>
    <x v="7"/>
    <x v="7"/>
    <x v="7"/>
    <x v="7"/>
    <x v="8"/>
    <x v="93"/>
    <x v="3"/>
    <x v="167"/>
    <x v="318"/>
    <x v="72"/>
    <x v="16"/>
    <x v="0"/>
    <x v="0"/>
  </r>
  <r>
    <x v="23"/>
    <x v="0"/>
    <x v="0"/>
    <x v="3"/>
    <x v="23"/>
    <x v="23"/>
    <x v="11"/>
    <x v="11"/>
    <x v="11"/>
    <x v="11"/>
    <x v="9"/>
    <x v="144"/>
    <x v="242"/>
    <x v="110"/>
    <x v="103"/>
    <x v="105"/>
    <x v="252"/>
    <x v="0"/>
    <x v="0"/>
  </r>
  <r>
    <x v="23"/>
    <x v="0"/>
    <x v="0"/>
    <x v="3"/>
    <x v="23"/>
    <x v="23"/>
    <x v="6"/>
    <x v="6"/>
    <x v="6"/>
    <x v="6"/>
    <x v="10"/>
    <x v="51"/>
    <x v="209"/>
    <x v="88"/>
    <x v="98"/>
    <x v="85"/>
    <x v="236"/>
    <x v="0"/>
    <x v="0"/>
  </r>
  <r>
    <x v="23"/>
    <x v="0"/>
    <x v="0"/>
    <x v="3"/>
    <x v="23"/>
    <x v="23"/>
    <x v="16"/>
    <x v="16"/>
    <x v="16"/>
    <x v="16"/>
    <x v="11"/>
    <x v="52"/>
    <x v="229"/>
    <x v="127"/>
    <x v="321"/>
    <x v="43"/>
    <x v="63"/>
    <x v="0"/>
    <x v="0"/>
  </r>
  <r>
    <x v="23"/>
    <x v="0"/>
    <x v="0"/>
    <x v="3"/>
    <x v="23"/>
    <x v="23"/>
    <x v="12"/>
    <x v="12"/>
    <x v="12"/>
    <x v="12"/>
    <x v="12"/>
    <x v="105"/>
    <x v="150"/>
    <x v="134"/>
    <x v="322"/>
    <x v="62"/>
    <x v="170"/>
    <x v="0"/>
    <x v="0"/>
  </r>
  <r>
    <x v="23"/>
    <x v="0"/>
    <x v="0"/>
    <x v="3"/>
    <x v="23"/>
    <x v="23"/>
    <x v="8"/>
    <x v="8"/>
    <x v="8"/>
    <x v="8"/>
    <x v="13"/>
    <x v="106"/>
    <x v="202"/>
    <x v="58"/>
    <x v="191"/>
    <x v="56"/>
    <x v="204"/>
    <x v="0"/>
    <x v="0"/>
  </r>
  <r>
    <x v="23"/>
    <x v="0"/>
    <x v="0"/>
    <x v="3"/>
    <x v="23"/>
    <x v="23"/>
    <x v="15"/>
    <x v="15"/>
    <x v="15"/>
    <x v="15"/>
    <x v="14"/>
    <x v="70"/>
    <x v="243"/>
    <x v="151"/>
    <x v="323"/>
    <x v="40"/>
    <x v="148"/>
    <x v="0"/>
    <x v="0"/>
  </r>
  <r>
    <x v="23"/>
    <x v="0"/>
    <x v="0"/>
    <x v="3"/>
    <x v="23"/>
    <x v="23"/>
    <x v="14"/>
    <x v="14"/>
    <x v="14"/>
    <x v="14"/>
    <x v="15"/>
    <x v="145"/>
    <x v="51"/>
    <x v="94"/>
    <x v="324"/>
    <x v="20"/>
    <x v="257"/>
    <x v="0"/>
    <x v="0"/>
  </r>
  <r>
    <x v="23"/>
    <x v="0"/>
    <x v="0"/>
    <x v="3"/>
    <x v="23"/>
    <x v="23"/>
    <x v="22"/>
    <x v="22"/>
    <x v="22"/>
    <x v="22"/>
    <x v="16"/>
    <x v="72"/>
    <x v="110"/>
    <x v="116"/>
    <x v="325"/>
    <x v="124"/>
    <x v="258"/>
    <x v="0"/>
    <x v="0"/>
  </r>
  <r>
    <x v="23"/>
    <x v="0"/>
    <x v="0"/>
    <x v="3"/>
    <x v="23"/>
    <x v="23"/>
    <x v="13"/>
    <x v="13"/>
    <x v="13"/>
    <x v="13"/>
    <x v="17"/>
    <x v="73"/>
    <x v="124"/>
    <x v="119"/>
    <x v="326"/>
    <x v="47"/>
    <x v="24"/>
    <x v="0"/>
    <x v="0"/>
  </r>
  <r>
    <x v="23"/>
    <x v="0"/>
    <x v="0"/>
    <x v="3"/>
    <x v="23"/>
    <x v="23"/>
    <x v="18"/>
    <x v="18"/>
    <x v="18"/>
    <x v="18"/>
    <x v="18"/>
    <x v="74"/>
    <x v="244"/>
    <x v="107"/>
    <x v="327"/>
    <x v="20"/>
    <x v="257"/>
    <x v="0"/>
    <x v="0"/>
  </r>
  <r>
    <x v="23"/>
    <x v="0"/>
    <x v="0"/>
    <x v="3"/>
    <x v="23"/>
    <x v="23"/>
    <x v="28"/>
    <x v="28"/>
    <x v="28"/>
    <x v="28"/>
    <x v="19"/>
    <x v="199"/>
    <x v="56"/>
    <x v="195"/>
    <x v="328"/>
    <x v="49"/>
    <x v="182"/>
    <x v="0"/>
    <x v="0"/>
  </r>
  <r>
    <x v="23"/>
    <x v="0"/>
    <x v="0"/>
    <x v="3"/>
    <x v="23"/>
    <x v="23"/>
    <x v="25"/>
    <x v="25"/>
    <x v="25"/>
    <x v="25"/>
    <x v="19"/>
    <x v="199"/>
    <x v="56"/>
    <x v="73"/>
    <x v="146"/>
    <x v="44"/>
    <x v="192"/>
    <x v="0"/>
    <x v="0"/>
  </r>
  <r>
    <x v="24"/>
    <x v="0"/>
    <x v="0"/>
    <x v="3"/>
    <x v="24"/>
    <x v="24"/>
    <x v="52"/>
    <x v="52"/>
    <x v="52"/>
    <x v="52"/>
    <x v="0"/>
    <x v="233"/>
    <x v="245"/>
    <x v="159"/>
    <x v="329"/>
    <x v="78"/>
    <x v="259"/>
    <x v="0"/>
    <x v="0"/>
  </r>
  <r>
    <x v="24"/>
    <x v="0"/>
    <x v="0"/>
    <x v="3"/>
    <x v="24"/>
    <x v="24"/>
    <x v="0"/>
    <x v="0"/>
    <x v="0"/>
    <x v="0"/>
    <x v="1"/>
    <x v="184"/>
    <x v="246"/>
    <x v="180"/>
    <x v="330"/>
    <x v="56"/>
    <x v="260"/>
    <x v="0"/>
    <x v="0"/>
  </r>
  <r>
    <x v="24"/>
    <x v="0"/>
    <x v="0"/>
    <x v="3"/>
    <x v="24"/>
    <x v="24"/>
    <x v="39"/>
    <x v="39"/>
    <x v="39"/>
    <x v="39"/>
    <x v="2"/>
    <x v="68"/>
    <x v="247"/>
    <x v="43"/>
    <x v="310"/>
    <x v="87"/>
    <x v="261"/>
    <x v="5"/>
    <x v="14"/>
  </r>
  <r>
    <x v="24"/>
    <x v="0"/>
    <x v="0"/>
    <x v="3"/>
    <x v="24"/>
    <x v="24"/>
    <x v="2"/>
    <x v="2"/>
    <x v="2"/>
    <x v="2"/>
    <x v="3"/>
    <x v="144"/>
    <x v="183"/>
    <x v="52"/>
    <x v="331"/>
    <x v="56"/>
    <x v="260"/>
    <x v="0"/>
    <x v="0"/>
  </r>
  <r>
    <x v="24"/>
    <x v="0"/>
    <x v="0"/>
    <x v="3"/>
    <x v="24"/>
    <x v="24"/>
    <x v="6"/>
    <x v="6"/>
    <x v="6"/>
    <x v="6"/>
    <x v="4"/>
    <x v="105"/>
    <x v="248"/>
    <x v="199"/>
    <x v="291"/>
    <x v="55"/>
    <x v="68"/>
    <x v="0"/>
    <x v="0"/>
  </r>
  <r>
    <x v="24"/>
    <x v="0"/>
    <x v="0"/>
    <x v="3"/>
    <x v="24"/>
    <x v="24"/>
    <x v="10"/>
    <x v="10"/>
    <x v="10"/>
    <x v="10"/>
    <x v="5"/>
    <x v="106"/>
    <x v="249"/>
    <x v="90"/>
    <x v="276"/>
    <x v="40"/>
    <x v="262"/>
    <x v="0"/>
    <x v="0"/>
  </r>
  <r>
    <x v="24"/>
    <x v="0"/>
    <x v="0"/>
    <x v="3"/>
    <x v="24"/>
    <x v="24"/>
    <x v="5"/>
    <x v="5"/>
    <x v="5"/>
    <x v="5"/>
    <x v="6"/>
    <x v="73"/>
    <x v="130"/>
    <x v="127"/>
    <x v="296"/>
    <x v="60"/>
    <x v="74"/>
    <x v="0"/>
    <x v="0"/>
  </r>
  <r>
    <x v="24"/>
    <x v="0"/>
    <x v="0"/>
    <x v="3"/>
    <x v="24"/>
    <x v="24"/>
    <x v="13"/>
    <x v="13"/>
    <x v="13"/>
    <x v="13"/>
    <x v="7"/>
    <x v="121"/>
    <x v="107"/>
    <x v="117"/>
    <x v="332"/>
    <x v="58"/>
    <x v="263"/>
    <x v="0"/>
    <x v="0"/>
  </r>
  <r>
    <x v="24"/>
    <x v="0"/>
    <x v="0"/>
    <x v="3"/>
    <x v="24"/>
    <x v="24"/>
    <x v="4"/>
    <x v="4"/>
    <x v="4"/>
    <x v="4"/>
    <x v="8"/>
    <x v="107"/>
    <x v="93"/>
    <x v="120"/>
    <x v="333"/>
    <x v="71"/>
    <x v="264"/>
    <x v="0"/>
    <x v="0"/>
  </r>
  <r>
    <x v="24"/>
    <x v="0"/>
    <x v="0"/>
    <x v="3"/>
    <x v="24"/>
    <x v="24"/>
    <x v="7"/>
    <x v="7"/>
    <x v="7"/>
    <x v="7"/>
    <x v="8"/>
    <x v="107"/>
    <x v="93"/>
    <x v="53"/>
    <x v="334"/>
    <x v="74"/>
    <x v="51"/>
    <x v="0"/>
    <x v="0"/>
  </r>
  <r>
    <x v="24"/>
    <x v="0"/>
    <x v="0"/>
    <x v="3"/>
    <x v="24"/>
    <x v="24"/>
    <x v="41"/>
    <x v="41"/>
    <x v="41"/>
    <x v="41"/>
    <x v="10"/>
    <x v="112"/>
    <x v="170"/>
    <x v="57"/>
    <x v="307"/>
    <x v="60"/>
    <x v="74"/>
    <x v="0"/>
    <x v="0"/>
  </r>
  <r>
    <x v="24"/>
    <x v="0"/>
    <x v="0"/>
    <x v="3"/>
    <x v="24"/>
    <x v="24"/>
    <x v="9"/>
    <x v="9"/>
    <x v="9"/>
    <x v="9"/>
    <x v="11"/>
    <x v="114"/>
    <x v="70"/>
    <x v="146"/>
    <x v="175"/>
    <x v="65"/>
    <x v="103"/>
    <x v="0"/>
    <x v="0"/>
  </r>
  <r>
    <x v="24"/>
    <x v="0"/>
    <x v="0"/>
    <x v="3"/>
    <x v="24"/>
    <x v="24"/>
    <x v="12"/>
    <x v="12"/>
    <x v="12"/>
    <x v="12"/>
    <x v="12"/>
    <x v="201"/>
    <x v="124"/>
    <x v="94"/>
    <x v="335"/>
    <x v="59"/>
    <x v="27"/>
    <x v="1"/>
    <x v="25"/>
  </r>
  <r>
    <x v="24"/>
    <x v="0"/>
    <x v="0"/>
    <x v="3"/>
    <x v="24"/>
    <x v="24"/>
    <x v="18"/>
    <x v="18"/>
    <x v="18"/>
    <x v="18"/>
    <x v="12"/>
    <x v="201"/>
    <x v="124"/>
    <x v="90"/>
    <x v="276"/>
    <x v="72"/>
    <x v="116"/>
    <x v="0"/>
    <x v="0"/>
  </r>
  <r>
    <x v="24"/>
    <x v="0"/>
    <x v="0"/>
    <x v="3"/>
    <x v="24"/>
    <x v="24"/>
    <x v="42"/>
    <x v="42"/>
    <x v="42"/>
    <x v="42"/>
    <x v="14"/>
    <x v="202"/>
    <x v="112"/>
    <x v="94"/>
    <x v="335"/>
    <x v="60"/>
    <x v="74"/>
    <x v="0"/>
    <x v="0"/>
  </r>
  <r>
    <x v="24"/>
    <x v="0"/>
    <x v="0"/>
    <x v="3"/>
    <x v="24"/>
    <x v="24"/>
    <x v="14"/>
    <x v="14"/>
    <x v="14"/>
    <x v="14"/>
    <x v="14"/>
    <x v="202"/>
    <x v="112"/>
    <x v="74"/>
    <x v="94"/>
    <x v="69"/>
    <x v="111"/>
    <x v="0"/>
    <x v="0"/>
  </r>
  <r>
    <x v="24"/>
    <x v="0"/>
    <x v="0"/>
    <x v="3"/>
    <x v="24"/>
    <x v="24"/>
    <x v="17"/>
    <x v="17"/>
    <x v="17"/>
    <x v="17"/>
    <x v="16"/>
    <x v="203"/>
    <x v="53"/>
    <x v="195"/>
    <x v="177"/>
    <x v="67"/>
    <x v="265"/>
    <x v="0"/>
    <x v="0"/>
  </r>
  <r>
    <x v="24"/>
    <x v="0"/>
    <x v="0"/>
    <x v="3"/>
    <x v="24"/>
    <x v="24"/>
    <x v="16"/>
    <x v="16"/>
    <x v="16"/>
    <x v="16"/>
    <x v="17"/>
    <x v="230"/>
    <x v="215"/>
    <x v="50"/>
    <x v="336"/>
    <x v="85"/>
    <x v="134"/>
    <x v="0"/>
    <x v="0"/>
  </r>
  <r>
    <x v="24"/>
    <x v="0"/>
    <x v="0"/>
    <x v="3"/>
    <x v="24"/>
    <x v="24"/>
    <x v="35"/>
    <x v="35"/>
    <x v="35"/>
    <x v="35"/>
    <x v="18"/>
    <x v="204"/>
    <x v="15"/>
    <x v="114"/>
    <x v="166"/>
    <x v="75"/>
    <x v="266"/>
    <x v="0"/>
    <x v="0"/>
  </r>
  <r>
    <x v="24"/>
    <x v="0"/>
    <x v="0"/>
    <x v="3"/>
    <x v="24"/>
    <x v="24"/>
    <x v="8"/>
    <x v="8"/>
    <x v="8"/>
    <x v="8"/>
    <x v="18"/>
    <x v="204"/>
    <x v="15"/>
    <x v="76"/>
    <x v="337"/>
    <x v="55"/>
    <x v="68"/>
    <x v="0"/>
    <x v="0"/>
  </r>
  <r>
    <x v="24"/>
    <x v="0"/>
    <x v="0"/>
    <x v="3"/>
    <x v="24"/>
    <x v="24"/>
    <x v="3"/>
    <x v="3"/>
    <x v="3"/>
    <x v="3"/>
    <x v="18"/>
    <x v="204"/>
    <x v="15"/>
    <x v="120"/>
    <x v="333"/>
    <x v="61"/>
    <x v="62"/>
    <x v="0"/>
    <x v="0"/>
  </r>
  <r>
    <x v="25"/>
    <x v="0"/>
    <x v="0"/>
    <x v="3"/>
    <x v="25"/>
    <x v="25"/>
    <x v="0"/>
    <x v="0"/>
    <x v="0"/>
    <x v="0"/>
    <x v="0"/>
    <x v="83"/>
    <x v="250"/>
    <x v="84"/>
    <x v="57"/>
    <x v="56"/>
    <x v="127"/>
    <x v="0"/>
    <x v="26"/>
  </r>
  <r>
    <x v="25"/>
    <x v="0"/>
    <x v="0"/>
    <x v="3"/>
    <x v="25"/>
    <x v="25"/>
    <x v="2"/>
    <x v="2"/>
    <x v="2"/>
    <x v="2"/>
    <x v="1"/>
    <x v="66"/>
    <x v="251"/>
    <x v="49"/>
    <x v="338"/>
    <x v="61"/>
    <x v="62"/>
    <x v="0"/>
    <x v="26"/>
  </r>
  <r>
    <x v="25"/>
    <x v="0"/>
    <x v="0"/>
    <x v="3"/>
    <x v="25"/>
    <x v="25"/>
    <x v="6"/>
    <x v="6"/>
    <x v="6"/>
    <x v="6"/>
    <x v="2"/>
    <x v="52"/>
    <x v="145"/>
    <x v="101"/>
    <x v="220"/>
    <x v="65"/>
    <x v="267"/>
    <x v="0"/>
    <x v="26"/>
  </r>
  <r>
    <x v="25"/>
    <x v="0"/>
    <x v="0"/>
    <x v="3"/>
    <x v="25"/>
    <x v="25"/>
    <x v="8"/>
    <x v="8"/>
    <x v="8"/>
    <x v="8"/>
    <x v="3"/>
    <x v="97"/>
    <x v="252"/>
    <x v="69"/>
    <x v="339"/>
    <x v="61"/>
    <x v="62"/>
    <x v="0"/>
    <x v="26"/>
  </r>
  <r>
    <x v="25"/>
    <x v="0"/>
    <x v="0"/>
    <x v="3"/>
    <x v="25"/>
    <x v="25"/>
    <x v="5"/>
    <x v="5"/>
    <x v="5"/>
    <x v="5"/>
    <x v="3"/>
    <x v="97"/>
    <x v="252"/>
    <x v="104"/>
    <x v="186"/>
    <x v="79"/>
    <x v="70"/>
    <x v="0"/>
    <x v="26"/>
  </r>
  <r>
    <x v="25"/>
    <x v="0"/>
    <x v="0"/>
    <x v="3"/>
    <x v="25"/>
    <x v="25"/>
    <x v="3"/>
    <x v="3"/>
    <x v="3"/>
    <x v="3"/>
    <x v="5"/>
    <x v="71"/>
    <x v="168"/>
    <x v="196"/>
    <x v="340"/>
    <x v="61"/>
    <x v="62"/>
    <x v="0"/>
    <x v="26"/>
  </r>
  <r>
    <x v="25"/>
    <x v="0"/>
    <x v="0"/>
    <x v="3"/>
    <x v="25"/>
    <x v="25"/>
    <x v="9"/>
    <x v="9"/>
    <x v="9"/>
    <x v="9"/>
    <x v="6"/>
    <x v="73"/>
    <x v="105"/>
    <x v="43"/>
    <x v="341"/>
    <x v="59"/>
    <x v="16"/>
    <x v="0"/>
    <x v="26"/>
  </r>
  <r>
    <x v="25"/>
    <x v="0"/>
    <x v="0"/>
    <x v="3"/>
    <x v="25"/>
    <x v="25"/>
    <x v="10"/>
    <x v="10"/>
    <x v="10"/>
    <x v="10"/>
    <x v="7"/>
    <x v="100"/>
    <x v="26"/>
    <x v="118"/>
    <x v="342"/>
    <x v="78"/>
    <x v="102"/>
    <x v="0"/>
    <x v="26"/>
  </r>
  <r>
    <x v="25"/>
    <x v="0"/>
    <x v="0"/>
    <x v="3"/>
    <x v="25"/>
    <x v="25"/>
    <x v="4"/>
    <x v="4"/>
    <x v="4"/>
    <x v="4"/>
    <x v="7"/>
    <x v="100"/>
    <x v="26"/>
    <x v="53"/>
    <x v="343"/>
    <x v="75"/>
    <x v="75"/>
    <x v="0"/>
    <x v="26"/>
  </r>
  <r>
    <x v="25"/>
    <x v="0"/>
    <x v="0"/>
    <x v="3"/>
    <x v="25"/>
    <x v="25"/>
    <x v="21"/>
    <x v="21"/>
    <x v="21"/>
    <x v="21"/>
    <x v="9"/>
    <x v="199"/>
    <x v="209"/>
    <x v="145"/>
    <x v="207"/>
    <x v="56"/>
    <x v="127"/>
    <x v="0"/>
    <x v="26"/>
  </r>
  <r>
    <x v="25"/>
    <x v="0"/>
    <x v="0"/>
    <x v="3"/>
    <x v="25"/>
    <x v="25"/>
    <x v="1"/>
    <x v="1"/>
    <x v="1"/>
    <x v="1"/>
    <x v="10"/>
    <x v="108"/>
    <x v="253"/>
    <x v="117"/>
    <x v="88"/>
    <x v="50"/>
    <x v="4"/>
    <x v="0"/>
    <x v="26"/>
  </r>
  <r>
    <x v="25"/>
    <x v="0"/>
    <x v="0"/>
    <x v="3"/>
    <x v="25"/>
    <x v="25"/>
    <x v="7"/>
    <x v="7"/>
    <x v="7"/>
    <x v="7"/>
    <x v="11"/>
    <x v="110"/>
    <x v="180"/>
    <x v="71"/>
    <x v="344"/>
    <x v="65"/>
    <x v="267"/>
    <x v="0"/>
    <x v="26"/>
  </r>
  <r>
    <x v="25"/>
    <x v="0"/>
    <x v="0"/>
    <x v="3"/>
    <x v="25"/>
    <x v="25"/>
    <x v="14"/>
    <x v="14"/>
    <x v="14"/>
    <x v="14"/>
    <x v="12"/>
    <x v="112"/>
    <x v="232"/>
    <x v="90"/>
    <x v="54"/>
    <x v="47"/>
    <x v="35"/>
    <x v="0"/>
    <x v="26"/>
  </r>
  <r>
    <x v="25"/>
    <x v="0"/>
    <x v="0"/>
    <x v="3"/>
    <x v="25"/>
    <x v="25"/>
    <x v="19"/>
    <x v="19"/>
    <x v="19"/>
    <x v="19"/>
    <x v="13"/>
    <x v="208"/>
    <x v="170"/>
    <x v="56"/>
    <x v="182"/>
    <x v="67"/>
    <x v="268"/>
    <x v="0"/>
    <x v="26"/>
  </r>
  <r>
    <x v="25"/>
    <x v="0"/>
    <x v="0"/>
    <x v="3"/>
    <x v="25"/>
    <x v="25"/>
    <x v="12"/>
    <x v="12"/>
    <x v="12"/>
    <x v="12"/>
    <x v="13"/>
    <x v="208"/>
    <x v="170"/>
    <x v="117"/>
    <x v="88"/>
    <x v="85"/>
    <x v="110"/>
    <x v="0"/>
    <x v="26"/>
  </r>
  <r>
    <x v="25"/>
    <x v="0"/>
    <x v="0"/>
    <x v="3"/>
    <x v="25"/>
    <x v="25"/>
    <x v="16"/>
    <x v="16"/>
    <x v="16"/>
    <x v="16"/>
    <x v="15"/>
    <x v="113"/>
    <x v="123"/>
    <x v="117"/>
    <x v="88"/>
    <x v="60"/>
    <x v="269"/>
    <x v="0"/>
    <x v="26"/>
  </r>
  <r>
    <x v="25"/>
    <x v="0"/>
    <x v="0"/>
    <x v="3"/>
    <x v="25"/>
    <x v="25"/>
    <x v="35"/>
    <x v="35"/>
    <x v="35"/>
    <x v="35"/>
    <x v="16"/>
    <x v="114"/>
    <x v="11"/>
    <x v="89"/>
    <x v="162"/>
    <x v="64"/>
    <x v="270"/>
    <x v="0"/>
    <x v="26"/>
  </r>
  <r>
    <x v="25"/>
    <x v="0"/>
    <x v="0"/>
    <x v="3"/>
    <x v="25"/>
    <x v="25"/>
    <x v="25"/>
    <x v="25"/>
    <x v="25"/>
    <x v="25"/>
    <x v="16"/>
    <x v="114"/>
    <x v="11"/>
    <x v="120"/>
    <x v="345"/>
    <x v="60"/>
    <x v="269"/>
    <x v="0"/>
    <x v="26"/>
  </r>
  <r>
    <x v="25"/>
    <x v="0"/>
    <x v="0"/>
    <x v="3"/>
    <x v="25"/>
    <x v="25"/>
    <x v="18"/>
    <x v="18"/>
    <x v="18"/>
    <x v="18"/>
    <x v="18"/>
    <x v="201"/>
    <x v="142"/>
    <x v="56"/>
    <x v="182"/>
    <x v="47"/>
    <x v="35"/>
    <x v="0"/>
    <x v="26"/>
  </r>
  <r>
    <x v="25"/>
    <x v="0"/>
    <x v="0"/>
    <x v="3"/>
    <x v="25"/>
    <x v="25"/>
    <x v="23"/>
    <x v="23"/>
    <x v="23"/>
    <x v="23"/>
    <x v="18"/>
    <x v="201"/>
    <x v="142"/>
    <x v="120"/>
    <x v="345"/>
    <x v="74"/>
    <x v="183"/>
    <x v="0"/>
    <x v="26"/>
  </r>
  <r>
    <x v="26"/>
    <x v="0"/>
    <x v="0"/>
    <x v="3"/>
    <x v="26"/>
    <x v="26"/>
    <x v="0"/>
    <x v="0"/>
    <x v="0"/>
    <x v="0"/>
    <x v="0"/>
    <x v="40"/>
    <x v="254"/>
    <x v="210"/>
    <x v="346"/>
    <x v="62"/>
    <x v="188"/>
    <x v="0"/>
    <x v="0"/>
  </r>
  <r>
    <x v="26"/>
    <x v="0"/>
    <x v="0"/>
    <x v="3"/>
    <x v="26"/>
    <x v="26"/>
    <x v="1"/>
    <x v="1"/>
    <x v="1"/>
    <x v="1"/>
    <x v="1"/>
    <x v="84"/>
    <x v="255"/>
    <x v="58"/>
    <x v="347"/>
    <x v="110"/>
    <x v="271"/>
    <x v="0"/>
    <x v="0"/>
  </r>
  <r>
    <x v="26"/>
    <x v="0"/>
    <x v="0"/>
    <x v="3"/>
    <x v="26"/>
    <x v="26"/>
    <x v="5"/>
    <x v="5"/>
    <x v="5"/>
    <x v="5"/>
    <x v="2"/>
    <x v="232"/>
    <x v="256"/>
    <x v="125"/>
    <x v="256"/>
    <x v="20"/>
    <x v="272"/>
    <x v="0"/>
    <x v="0"/>
  </r>
  <r>
    <x v="26"/>
    <x v="0"/>
    <x v="0"/>
    <x v="3"/>
    <x v="26"/>
    <x v="26"/>
    <x v="4"/>
    <x v="4"/>
    <x v="4"/>
    <x v="4"/>
    <x v="3"/>
    <x v="85"/>
    <x v="220"/>
    <x v="100"/>
    <x v="158"/>
    <x v="47"/>
    <x v="273"/>
    <x v="0"/>
    <x v="0"/>
  </r>
  <r>
    <x v="26"/>
    <x v="0"/>
    <x v="0"/>
    <x v="3"/>
    <x v="26"/>
    <x v="26"/>
    <x v="2"/>
    <x v="2"/>
    <x v="2"/>
    <x v="2"/>
    <x v="4"/>
    <x v="221"/>
    <x v="67"/>
    <x v="100"/>
    <x v="158"/>
    <x v="74"/>
    <x v="104"/>
    <x v="0"/>
    <x v="0"/>
  </r>
  <r>
    <x v="26"/>
    <x v="0"/>
    <x v="0"/>
    <x v="3"/>
    <x v="26"/>
    <x v="26"/>
    <x v="9"/>
    <x v="9"/>
    <x v="9"/>
    <x v="9"/>
    <x v="5"/>
    <x v="69"/>
    <x v="222"/>
    <x v="104"/>
    <x v="348"/>
    <x v="60"/>
    <x v="51"/>
    <x v="0"/>
    <x v="0"/>
  </r>
  <r>
    <x v="26"/>
    <x v="0"/>
    <x v="0"/>
    <x v="3"/>
    <x v="26"/>
    <x v="26"/>
    <x v="3"/>
    <x v="3"/>
    <x v="3"/>
    <x v="3"/>
    <x v="6"/>
    <x v="54"/>
    <x v="257"/>
    <x v="111"/>
    <x v="301"/>
    <x v="61"/>
    <x v="62"/>
    <x v="0"/>
    <x v="0"/>
  </r>
  <r>
    <x v="26"/>
    <x v="0"/>
    <x v="0"/>
    <x v="3"/>
    <x v="26"/>
    <x v="26"/>
    <x v="8"/>
    <x v="8"/>
    <x v="8"/>
    <x v="8"/>
    <x v="7"/>
    <x v="55"/>
    <x v="187"/>
    <x v="105"/>
    <x v="349"/>
    <x v="55"/>
    <x v="139"/>
    <x v="0"/>
    <x v="0"/>
  </r>
  <r>
    <x v="26"/>
    <x v="0"/>
    <x v="0"/>
    <x v="3"/>
    <x v="26"/>
    <x v="26"/>
    <x v="10"/>
    <x v="10"/>
    <x v="10"/>
    <x v="10"/>
    <x v="8"/>
    <x v="56"/>
    <x v="131"/>
    <x v="54"/>
    <x v="350"/>
    <x v="77"/>
    <x v="274"/>
    <x v="0"/>
    <x v="0"/>
  </r>
  <r>
    <x v="26"/>
    <x v="0"/>
    <x v="0"/>
    <x v="3"/>
    <x v="26"/>
    <x v="26"/>
    <x v="13"/>
    <x v="13"/>
    <x v="13"/>
    <x v="13"/>
    <x v="9"/>
    <x v="71"/>
    <x v="157"/>
    <x v="120"/>
    <x v="123"/>
    <x v="105"/>
    <x v="84"/>
    <x v="0"/>
    <x v="0"/>
  </r>
  <r>
    <x v="26"/>
    <x v="0"/>
    <x v="0"/>
    <x v="3"/>
    <x v="26"/>
    <x v="26"/>
    <x v="7"/>
    <x v="7"/>
    <x v="7"/>
    <x v="7"/>
    <x v="9"/>
    <x v="71"/>
    <x v="157"/>
    <x v="51"/>
    <x v="351"/>
    <x v="60"/>
    <x v="51"/>
    <x v="0"/>
    <x v="0"/>
  </r>
  <r>
    <x v="26"/>
    <x v="0"/>
    <x v="0"/>
    <x v="3"/>
    <x v="26"/>
    <x v="26"/>
    <x v="20"/>
    <x v="20"/>
    <x v="20"/>
    <x v="20"/>
    <x v="11"/>
    <x v="98"/>
    <x v="27"/>
    <x v="72"/>
    <x v="352"/>
    <x v="110"/>
    <x v="271"/>
    <x v="5"/>
    <x v="22"/>
  </r>
  <r>
    <x v="26"/>
    <x v="0"/>
    <x v="0"/>
    <x v="3"/>
    <x v="26"/>
    <x v="26"/>
    <x v="16"/>
    <x v="16"/>
    <x v="16"/>
    <x v="16"/>
    <x v="11"/>
    <x v="98"/>
    <x v="27"/>
    <x v="134"/>
    <x v="353"/>
    <x v="79"/>
    <x v="275"/>
    <x v="0"/>
    <x v="0"/>
  </r>
  <r>
    <x v="26"/>
    <x v="0"/>
    <x v="0"/>
    <x v="3"/>
    <x v="26"/>
    <x v="26"/>
    <x v="22"/>
    <x v="22"/>
    <x v="22"/>
    <x v="22"/>
    <x v="13"/>
    <x v="72"/>
    <x v="48"/>
    <x v="151"/>
    <x v="354"/>
    <x v="49"/>
    <x v="276"/>
    <x v="0"/>
    <x v="0"/>
  </r>
  <r>
    <x v="26"/>
    <x v="0"/>
    <x v="0"/>
    <x v="3"/>
    <x v="26"/>
    <x v="26"/>
    <x v="34"/>
    <x v="34"/>
    <x v="34"/>
    <x v="34"/>
    <x v="14"/>
    <x v="99"/>
    <x v="122"/>
    <x v="53"/>
    <x v="355"/>
    <x v="79"/>
    <x v="275"/>
    <x v="0"/>
    <x v="0"/>
  </r>
  <r>
    <x v="26"/>
    <x v="0"/>
    <x v="0"/>
    <x v="3"/>
    <x v="26"/>
    <x v="26"/>
    <x v="14"/>
    <x v="14"/>
    <x v="14"/>
    <x v="14"/>
    <x v="14"/>
    <x v="99"/>
    <x v="122"/>
    <x v="75"/>
    <x v="69"/>
    <x v="71"/>
    <x v="72"/>
    <x v="0"/>
    <x v="0"/>
  </r>
  <r>
    <x v="26"/>
    <x v="0"/>
    <x v="0"/>
    <x v="3"/>
    <x v="26"/>
    <x v="26"/>
    <x v="12"/>
    <x v="12"/>
    <x v="12"/>
    <x v="12"/>
    <x v="16"/>
    <x v="100"/>
    <x v="258"/>
    <x v="57"/>
    <x v="105"/>
    <x v="45"/>
    <x v="200"/>
    <x v="5"/>
    <x v="22"/>
  </r>
  <r>
    <x v="26"/>
    <x v="0"/>
    <x v="0"/>
    <x v="3"/>
    <x v="26"/>
    <x v="26"/>
    <x v="11"/>
    <x v="11"/>
    <x v="11"/>
    <x v="11"/>
    <x v="17"/>
    <x v="121"/>
    <x v="141"/>
    <x v="50"/>
    <x v="356"/>
    <x v="43"/>
    <x v="156"/>
    <x v="0"/>
    <x v="0"/>
  </r>
  <r>
    <x v="26"/>
    <x v="0"/>
    <x v="0"/>
    <x v="3"/>
    <x v="26"/>
    <x v="26"/>
    <x v="6"/>
    <x v="6"/>
    <x v="6"/>
    <x v="6"/>
    <x v="18"/>
    <x v="74"/>
    <x v="69"/>
    <x v="92"/>
    <x v="180"/>
    <x v="56"/>
    <x v="103"/>
    <x v="0"/>
    <x v="0"/>
  </r>
  <r>
    <x v="26"/>
    <x v="0"/>
    <x v="0"/>
    <x v="3"/>
    <x v="26"/>
    <x v="26"/>
    <x v="25"/>
    <x v="25"/>
    <x v="25"/>
    <x v="25"/>
    <x v="19"/>
    <x v="110"/>
    <x v="111"/>
    <x v="117"/>
    <x v="121"/>
    <x v="79"/>
    <x v="275"/>
    <x v="0"/>
    <x v="0"/>
  </r>
  <r>
    <x v="27"/>
    <x v="0"/>
    <x v="0"/>
    <x v="3"/>
    <x v="27"/>
    <x v="27"/>
    <x v="52"/>
    <x v="52"/>
    <x v="52"/>
    <x v="52"/>
    <x v="0"/>
    <x v="65"/>
    <x v="259"/>
    <x v="167"/>
    <x v="357"/>
    <x v="47"/>
    <x v="277"/>
    <x v="0"/>
    <x v="0"/>
  </r>
  <r>
    <x v="27"/>
    <x v="0"/>
    <x v="0"/>
    <x v="3"/>
    <x v="27"/>
    <x v="27"/>
    <x v="0"/>
    <x v="0"/>
    <x v="0"/>
    <x v="0"/>
    <x v="1"/>
    <x v="145"/>
    <x v="260"/>
    <x v="201"/>
    <x v="358"/>
    <x v="74"/>
    <x v="278"/>
    <x v="0"/>
    <x v="0"/>
  </r>
  <r>
    <x v="27"/>
    <x v="0"/>
    <x v="0"/>
    <x v="3"/>
    <x v="27"/>
    <x v="27"/>
    <x v="1"/>
    <x v="1"/>
    <x v="1"/>
    <x v="1"/>
    <x v="2"/>
    <x v="208"/>
    <x v="103"/>
    <x v="108"/>
    <x v="321"/>
    <x v="50"/>
    <x v="270"/>
    <x v="0"/>
    <x v="0"/>
  </r>
  <r>
    <x v="27"/>
    <x v="0"/>
    <x v="0"/>
    <x v="3"/>
    <x v="27"/>
    <x v="27"/>
    <x v="10"/>
    <x v="10"/>
    <x v="10"/>
    <x v="10"/>
    <x v="3"/>
    <x v="113"/>
    <x v="66"/>
    <x v="89"/>
    <x v="92"/>
    <x v="67"/>
    <x v="279"/>
    <x v="0"/>
    <x v="0"/>
  </r>
  <r>
    <x v="27"/>
    <x v="0"/>
    <x v="0"/>
    <x v="3"/>
    <x v="27"/>
    <x v="27"/>
    <x v="13"/>
    <x v="13"/>
    <x v="13"/>
    <x v="13"/>
    <x v="4"/>
    <x v="200"/>
    <x v="235"/>
    <x v="108"/>
    <x v="321"/>
    <x v="75"/>
    <x v="280"/>
    <x v="0"/>
    <x v="0"/>
  </r>
  <r>
    <x v="27"/>
    <x v="0"/>
    <x v="0"/>
    <x v="3"/>
    <x v="27"/>
    <x v="27"/>
    <x v="4"/>
    <x v="4"/>
    <x v="4"/>
    <x v="4"/>
    <x v="5"/>
    <x v="201"/>
    <x v="91"/>
    <x v="93"/>
    <x v="225"/>
    <x v="50"/>
    <x v="270"/>
    <x v="0"/>
    <x v="0"/>
  </r>
  <r>
    <x v="27"/>
    <x v="0"/>
    <x v="0"/>
    <x v="3"/>
    <x v="27"/>
    <x v="27"/>
    <x v="39"/>
    <x v="39"/>
    <x v="39"/>
    <x v="39"/>
    <x v="6"/>
    <x v="202"/>
    <x v="242"/>
    <x v="50"/>
    <x v="69"/>
    <x v="83"/>
    <x v="25"/>
    <x v="5"/>
    <x v="12"/>
  </r>
  <r>
    <x v="27"/>
    <x v="0"/>
    <x v="0"/>
    <x v="3"/>
    <x v="27"/>
    <x v="27"/>
    <x v="6"/>
    <x v="6"/>
    <x v="6"/>
    <x v="6"/>
    <x v="6"/>
    <x v="202"/>
    <x v="242"/>
    <x v="117"/>
    <x v="97"/>
    <x v="65"/>
    <x v="112"/>
    <x v="0"/>
    <x v="0"/>
  </r>
  <r>
    <x v="27"/>
    <x v="0"/>
    <x v="0"/>
    <x v="3"/>
    <x v="27"/>
    <x v="27"/>
    <x v="3"/>
    <x v="3"/>
    <x v="3"/>
    <x v="3"/>
    <x v="8"/>
    <x v="203"/>
    <x v="120"/>
    <x v="73"/>
    <x v="201"/>
    <x v="61"/>
    <x v="62"/>
    <x v="0"/>
    <x v="0"/>
  </r>
  <r>
    <x v="27"/>
    <x v="0"/>
    <x v="0"/>
    <x v="3"/>
    <x v="27"/>
    <x v="27"/>
    <x v="2"/>
    <x v="2"/>
    <x v="2"/>
    <x v="2"/>
    <x v="9"/>
    <x v="205"/>
    <x v="94"/>
    <x v="94"/>
    <x v="155"/>
    <x v="65"/>
    <x v="112"/>
    <x v="0"/>
    <x v="0"/>
  </r>
  <r>
    <x v="27"/>
    <x v="0"/>
    <x v="0"/>
    <x v="3"/>
    <x v="27"/>
    <x v="27"/>
    <x v="5"/>
    <x v="5"/>
    <x v="5"/>
    <x v="5"/>
    <x v="10"/>
    <x v="211"/>
    <x v="69"/>
    <x v="90"/>
    <x v="359"/>
    <x v="74"/>
    <x v="278"/>
    <x v="0"/>
    <x v="0"/>
  </r>
  <r>
    <x v="27"/>
    <x v="0"/>
    <x v="0"/>
    <x v="3"/>
    <x v="27"/>
    <x v="27"/>
    <x v="9"/>
    <x v="9"/>
    <x v="9"/>
    <x v="9"/>
    <x v="11"/>
    <x v="227"/>
    <x v="243"/>
    <x v="108"/>
    <x v="321"/>
    <x v="61"/>
    <x v="62"/>
    <x v="0"/>
    <x v="0"/>
  </r>
  <r>
    <x v="27"/>
    <x v="0"/>
    <x v="0"/>
    <x v="3"/>
    <x v="27"/>
    <x v="27"/>
    <x v="17"/>
    <x v="17"/>
    <x v="17"/>
    <x v="17"/>
    <x v="12"/>
    <x v="228"/>
    <x v="30"/>
    <x v="91"/>
    <x v="120"/>
    <x v="75"/>
    <x v="280"/>
    <x v="0"/>
    <x v="0"/>
  </r>
  <r>
    <x v="27"/>
    <x v="0"/>
    <x v="0"/>
    <x v="3"/>
    <x v="27"/>
    <x v="27"/>
    <x v="11"/>
    <x v="11"/>
    <x v="11"/>
    <x v="11"/>
    <x v="13"/>
    <x v="212"/>
    <x v="124"/>
    <x v="151"/>
    <x v="304"/>
    <x v="59"/>
    <x v="154"/>
    <x v="0"/>
    <x v="0"/>
  </r>
  <r>
    <x v="27"/>
    <x v="0"/>
    <x v="0"/>
    <x v="3"/>
    <x v="27"/>
    <x v="27"/>
    <x v="42"/>
    <x v="42"/>
    <x v="42"/>
    <x v="42"/>
    <x v="14"/>
    <x v="213"/>
    <x v="133"/>
    <x v="56"/>
    <x v="336"/>
    <x v="59"/>
    <x v="154"/>
    <x v="0"/>
    <x v="0"/>
  </r>
  <r>
    <x v="27"/>
    <x v="0"/>
    <x v="0"/>
    <x v="3"/>
    <x v="27"/>
    <x v="27"/>
    <x v="18"/>
    <x v="18"/>
    <x v="18"/>
    <x v="18"/>
    <x v="14"/>
    <x v="213"/>
    <x v="133"/>
    <x v="118"/>
    <x v="182"/>
    <x v="75"/>
    <x v="280"/>
    <x v="0"/>
    <x v="0"/>
  </r>
  <r>
    <x v="27"/>
    <x v="0"/>
    <x v="0"/>
    <x v="3"/>
    <x v="27"/>
    <x v="27"/>
    <x v="41"/>
    <x v="41"/>
    <x v="41"/>
    <x v="41"/>
    <x v="14"/>
    <x v="213"/>
    <x v="133"/>
    <x v="114"/>
    <x v="52"/>
    <x v="65"/>
    <x v="112"/>
    <x v="0"/>
    <x v="0"/>
  </r>
  <r>
    <x v="27"/>
    <x v="0"/>
    <x v="0"/>
    <x v="3"/>
    <x v="27"/>
    <x v="27"/>
    <x v="53"/>
    <x v="53"/>
    <x v="53"/>
    <x v="53"/>
    <x v="17"/>
    <x v="229"/>
    <x v="215"/>
    <x v="114"/>
    <x v="52"/>
    <x v="55"/>
    <x v="91"/>
    <x v="0"/>
    <x v="0"/>
  </r>
  <r>
    <x v="27"/>
    <x v="0"/>
    <x v="0"/>
    <x v="3"/>
    <x v="27"/>
    <x v="27"/>
    <x v="7"/>
    <x v="7"/>
    <x v="7"/>
    <x v="7"/>
    <x v="17"/>
    <x v="229"/>
    <x v="215"/>
    <x v="114"/>
    <x v="52"/>
    <x v="55"/>
    <x v="91"/>
    <x v="0"/>
    <x v="0"/>
  </r>
  <r>
    <x v="27"/>
    <x v="0"/>
    <x v="0"/>
    <x v="3"/>
    <x v="27"/>
    <x v="27"/>
    <x v="19"/>
    <x v="19"/>
    <x v="19"/>
    <x v="19"/>
    <x v="19"/>
    <x v="234"/>
    <x v="261"/>
    <x v="91"/>
    <x v="120"/>
    <x v="74"/>
    <x v="278"/>
    <x v="0"/>
    <x v="0"/>
  </r>
  <r>
    <x v="27"/>
    <x v="0"/>
    <x v="0"/>
    <x v="3"/>
    <x v="27"/>
    <x v="27"/>
    <x v="8"/>
    <x v="8"/>
    <x v="8"/>
    <x v="8"/>
    <x v="19"/>
    <x v="234"/>
    <x v="261"/>
    <x v="151"/>
    <x v="304"/>
    <x v="55"/>
    <x v="91"/>
    <x v="0"/>
    <x v="0"/>
  </r>
  <r>
    <x v="28"/>
    <x v="0"/>
    <x v="0"/>
    <x v="3"/>
    <x v="28"/>
    <x v="28"/>
    <x v="0"/>
    <x v="0"/>
    <x v="0"/>
    <x v="0"/>
    <x v="0"/>
    <x v="85"/>
    <x v="262"/>
    <x v="69"/>
    <x v="360"/>
    <x v="75"/>
    <x v="53"/>
    <x v="0"/>
    <x v="0"/>
  </r>
  <r>
    <x v="28"/>
    <x v="0"/>
    <x v="0"/>
    <x v="3"/>
    <x v="28"/>
    <x v="28"/>
    <x v="10"/>
    <x v="10"/>
    <x v="10"/>
    <x v="10"/>
    <x v="1"/>
    <x v="100"/>
    <x v="241"/>
    <x v="48"/>
    <x v="361"/>
    <x v="124"/>
    <x v="281"/>
    <x v="0"/>
    <x v="0"/>
  </r>
  <r>
    <x v="28"/>
    <x v="0"/>
    <x v="0"/>
    <x v="3"/>
    <x v="28"/>
    <x v="28"/>
    <x v="4"/>
    <x v="4"/>
    <x v="4"/>
    <x v="4"/>
    <x v="2"/>
    <x v="74"/>
    <x v="88"/>
    <x v="76"/>
    <x v="362"/>
    <x v="69"/>
    <x v="250"/>
    <x v="0"/>
    <x v="0"/>
  </r>
  <r>
    <x v="28"/>
    <x v="0"/>
    <x v="0"/>
    <x v="3"/>
    <x v="28"/>
    <x v="28"/>
    <x v="7"/>
    <x v="7"/>
    <x v="7"/>
    <x v="7"/>
    <x v="3"/>
    <x v="124"/>
    <x v="178"/>
    <x v="113"/>
    <x v="291"/>
    <x v="75"/>
    <x v="53"/>
    <x v="0"/>
    <x v="0"/>
  </r>
  <r>
    <x v="28"/>
    <x v="0"/>
    <x v="0"/>
    <x v="3"/>
    <x v="28"/>
    <x v="28"/>
    <x v="1"/>
    <x v="1"/>
    <x v="1"/>
    <x v="1"/>
    <x v="4"/>
    <x v="107"/>
    <x v="64"/>
    <x v="118"/>
    <x v="363"/>
    <x v="51"/>
    <x v="22"/>
    <x v="0"/>
    <x v="0"/>
  </r>
  <r>
    <x v="28"/>
    <x v="0"/>
    <x v="0"/>
    <x v="3"/>
    <x v="28"/>
    <x v="28"/>
    <x v="5"/>
    <x v="5"/>
    <x v="5"/>
    <x v="5"/>
    <x v="5"/>
    <x v="108"/>
    <x v="166"/>
    <x v="57"/>
    <x v="364"/>
    <x v="79"/>
    <x v="282"/>
    <x v="0"/>
    <x v="0"/>
  </r>
  <r>
    <x v="28"/>
    <x v="0"/>
    <x v="0"/>
    <x v="3"/>
    <x v="28"/>
    <x v="28"/>
    <x v="6"/>
    <x v="6"/>
    <x v="6"/>
    <x v="6"/>
    <x v="6"/>
    <x v="112"/>
    <x v="105"/>
    <x v="146"/>
    <x v="131"/>
    <x v="59"/>
    <x v="178"/>
    <x v="0"/>
    <x v="0"/>
  </r>
  <r>
    <x v="28"/>
    <x v="0"/>
    <x v="0"/>
    <x v="3"/>
    <x v="28"/>
    <x v="28"/>
    <x v="9"/>
    <x v="9"/>
    <x v="9"/>
    <x v="9"/>
    <x v="7"/>
    <x v="113"/>
    <x v="119"/>
    <x v="73"/>
    <x v="62"/>
    <x v="59"/>
    <x v="178"/>
    <x v="0"/>
    <x v="0"/>
  </r>
  <r>
    <x v="28"/>
    <x v="0"/>
    <x v="0"/>
    <x v="3"/>
    <x v="28"/>
    <x v="28"/>
    <x v="23"/>
    <x v="23"/>
    <x v="23"/>
    <x v="23"/>
    <x v="8"/>
    <x v="203"/>
    <x v="223"/>
    <x v="120"/>
    <x v="365"/>
    <x v="65"/>
    <x v="283"/>
    <x v="0"/>
    <x v="0"/>
  </r>
  <r>
    <x v="28"/>
    <x v="0"/>
    <x v="0"/>
    <x v="3"/>
    <x v="28"/>
    <x v="28"/>
    <x v="13"/>
    <x v="13"/>
    <x v="13"/>
    <x v="13"/>
    <x v="9"/>
    <x v="230"/>
    <x v="122"/>
    <x v="114"/>
    <x v="208"/>
    <x v="79"/>
    <x v="282"/>
    <x v="0"/>
    <x v="0"/>
  </r>
  <r>
    <x v="28"/>
    <x v="0"/>
    <x v="0"/>
    <x v="3"/>
    <x v="28"/>
    <x v="28"/>
    <x v="12"/>
    <x v="12"/>
    <x v="12"/>
    <x v="12"/>
    <x v="10"/>
    <x v="205"/>
    <x v="10"/>
    <x v="90"/>
    <x v="286"/>
    <x v="60"/>
    <x v="115"/>
    <x v="0"/>
    <x v="0"/>
  </r>
  <r>
    <x v="28"/>
    <x v="0"/>
    <x v="0"/>
    <x v="3"/>
    <x v="28"/>
    <x v="28"/>
    <x v="2"/>
    <x v="2"/>
    <x v="2"/>
    <x v="2"/>
    <x v="10"/>
    <x v="205"/>
    <x v="10"/>
    <x v="179"/>
    <x v="26"/>
    <x v="55"/>
    <x v="56"/>
    <x v="0"/>
    <x v="0"/>
  </r>
  <r>
    <x v="28"/>
    <x v="0"/>
    <x v="0"/>
    <x v="3"/>
    <x v="28"/>
    <x v="28"/>
    <x v="14"/>
    <x v="14"/>
    <x v="14"/>
    <x v="14"/>
    <x v="10"/>
    <x v="205"/>
    <x v="10"/>
    <x v="74"/>
    <x v="366"/>
    <x v="71"/>
    <x v="284"/>
    <x v="0"/>
    <x v="0"/>
  </r>
  <r>
    <x v="28"/>
    <x v="0"/>
    <x v="0"/>
    <x v="3"/>
    <x v="28"/>
    <x v="28"/>
    <x v="22"/>
    <x v="22"/>
    <x v="22"/>
    <x v="22"/>
    <x v="13"/>
    <x v="226"/>
    <x v="11"/>
    <x v="150"/>
    <x v="367"/>
    <x v="62"/>
    <x v="285"/>
    <x v="0"/>
    <x v="0"/>
  </r>
  <r>
    <x v="28"/>
    <x v="0"/>
    <x v="0"/>
    <x v="3"/>
    <x v="28"/>
    <x v="28"/>
    <x v="20"/>
    <x v="20"/>
    <x v="20"/>
    <x v="20"/>
    <x v="14"/>
    <x v="227"/>
    <x v="151"/>
    <x v="48"/>
    <x v="361"/>
    <x v="64"/>
    <x v="177"/>
    <x v="0"/>
    <x v="0"/>
  </r>
  <r>
    <x v="28"/>
    <x v="0"/>
    <x v="0"/>
    <x v="3"/>
    <x v="28"/>
    <x v="28"/>
    <x v="16"/>
    <x v="16"/>
    <x v="16"/>
    <x v="16"/>
    <x v="14"/>
    <x v="227"/>
    <x v="151"/>
    <x v="56"/>
    <x v="337"/>
    <x v="83"/>
    <x v="286"/>
    <x v="0"/>
    <x v="0"/>
  </r>
  <r>
    <x v="28"/>
    <x v="0"/>
    <x v="0"/>
    <x v="3"/>
    <x v="28"/>
    <x v="28"/>
    <x v="41"/>
    <x v="41"/>
    <x v="41"/>
    <x v="41"/>
    <x v="16"/>
    <x v="228"/>
    <x v="33"/>
    <x v="151"/>
    <x v="368"/>
    <x v="60"/>
    <x v="115"/>
    <x v="0"/>
    <x v="0"/>
  </r>
  <r>
    <x v="28"/>
    <x v="0"/>
    <x v="0"/>
    <x v="3"/>
    <x v="28"/>
    <x v="28"/>
    <x v="19"/>
    <x v="19"/>
    <x v="19"/>
    <x v="19"/>
    <x v="17"/>
    <x v="213"/>
    <x v="15"/>
    <x v="187"/>
    <x v="107"/>
    <x v="71"/>
    <x v="284"/>
    <x v="0"/>
    <x v="0"/>
  </r>
  <r>
    <x v="28"/>
    <x v="0"/>
    <x v="0"/>
    <x v="3"/>
    <x v="28"/>
    <x v="28"/>
    <x v="17"/>
    <x v="17"/>
    <x v="17"/>
    <x v="17"/>
    <x v="18"/>
    <x v="214"/>
    <x v="37"/>
    <x v="150"/>
    <x v="367"/>
    <x v="45"/>
    <x v="130"/>
    <x v="0"/>
    <x v="0"/>
  </r>
  <r>
    <x v="28"/>
    <x v="0"/>
    <x v="0"/>
    <x v="3"/>
    <x v="28"/>
    <x v="28"/>
    <x v="28"/>
    <x v="28"/>
    <x v="28"/>
    <x v="28"/>
    <x v="18"/>
    <x v="214"/>
    <x v="37"/>
    <x v="116"/>
    <x v="369"/>
    <x v="72"/>
    <x v="30"/>
    <x v="0"/>
    <x v="0"/>
  </r>
  <r>
    <x v="28"/>
    <x v="0"/>
    <x v="0"/>
    <x v="3"/>
    <x v="28"/>
    <x v="28"/>
    <x v="54"/>
    <x v="54"/>
    <x v="54"/>
    <x v="54"/>
    <x v="18"/>
    <x v="214"/>
    <x v="37"/>
    <x v="74"/>
    <x v="366"/>
    <x v="60"/>
    <x v="115"/>
    <x v="0"/>
    <x v="0"/>
  </r>
  <r>
    <x v="28"/>
    <x v="0"/>
    <x v="0"/>
    <x v="3"/>
    <x v="28"/>
    <x v="28"/>
    <x v="55"/>
    <x v="55"/>
    <x v="55"/>
    <x v="55"/>
    <x v="18"/>
    <x v="214"/>
    <x v="37"/>
    <x v="114"/>
    <x v="208"/>
    <x v="61"/>
    <x v="62"/>
    <x v="0"/>
    <x v="0"/>
  </r>
  <r>
    <x v="29"/>
    <x v="0"/>
    <x v="0"/>
    <x v="3"/>
    <x v="29"/>
    <x v="29"/>
    <x v="10"/>
    <x v="10"/>
    <x v="10"/>
    <x v="10"/>
    <x v="0"/>
    <x v="199"/>
    <x v="239"/>
    <x v="151"/>
    <x v="88"/>
    <x v="53"/>
    <x v="287"/>
    <x v="0"/>
    <x v="26"/>
  </r>
  <r>
    <x v="29"/>
    <x v="0"/>
    <x v="0"/>
    <x v="3"/>
    <x v="29"/>
    <x v="29"/>
    <x v="0"/>
    <x v="0"/>
    <x v="0"/>
    <x v="0"/>
    <x v="1"/>
    <x v="107"/>
    <x v="263"/>
    <x v="115"/>
    <x v="370"/>
    <x v="60"/>
    <x v="96"/>
    <x v="0"/>
    <x v="26"/>
  </r>
  <r>
    <x v="29"/>
    <x v="0"/>
    <x v="0"/>
    <x v="3"/>
    <x v="29"/>
    <x v="29"/>
    <x v="6"/>
    <x v="6"/>
    <x v="6"/>
    <x v="6"/>
    <x v="2"/>
    <x v="112"/>
    <x v="178"/>
    <x v="113"/>
    <x v="371"/>
    <x v="65"/>
    <x v="90"/>
    <x v="0"/>
    <x v="26"/>
  </r>
  <r>
    <x v="29"/>
    <x v="0"/>
    <x v="0"/>
    <x v="3"/>
    <x v="29"/>
    <x v="29"/>
    <x v="2"/>
    <x v="2"/>
    <x v="2"/>
    <x v="2"/>
    <x v="3"/>
    <x v="201"/>
    <x v="264"/>
    <x v="57"/>
    <x v="372"/>
    <x v="55"/>
    <x v="288"/>
    <x v="0"/>
    <x v="26"/>
  </r>
  <r>
    <x v="29"/>
    <x v="0"/>
    <x v="0"/>
    <x v="3"/>
    <x v="29"/>
    <x v="29"/>
    <x v="19"/>
    <x v="19"/>
    <x v="19"/>
    <x v="19"/>
    <x v="4"/>
    <x v="203"/>
    <x v="148"/>
    <x v="107"/>
    <x v="285"/>
    <x v="50"/>
    <x v="100"/>
    <x v="0"/>
    <x v="26"/>
  </r>
  <r>
    <x v="29"/>
    <x v="0"/>
    <x v="0"/>
    <x v="3"/>
    <x v="29"/>
    <x v="29"/>
    <x v="52"/>
    <x v="52"/>
    <x v="52"/>
    <x v="52"/>
    <x v="5"/>
    <x v="230"/>
    <x v="77"/>
    <x v="93"/>
    <x v="373"/>
    <x v="75"/>
    <x v="245"/>
    <x v="0"/>
    <x v="26"/>
  </r>
  <r>
    <x v="29"/>
    <x v="0"/>
    <x v="0"/>
    <x v="3"/>
    <x v="29"/>
    <x v="29"/>
    <x v="13"/>
    <x v="13"/>
    <x v="13"/>
    <x v="13"/>
    <x v="6"/>
    <x v="204"/>
    <x v="265"/>
    <x v="90"/>
    <x v="55"/>
    <x v="85"/>
    <x v="289"/>
    <x v="0"/>
    <x v="26"/>
  </r>
  <r>
    <x v="29"/>
    <x v="0"/>
    <x v="0"/>
    <x v="3"/>
    <x v="29"/>
    <x v="29"/>
    <x v="56"/>
    <x v="56"/>
    <x v="56"/>
    <x v="56"/>
    <x v="7"/>
    <x v="226"/>
    <x v="27"/>
    <x v="93"/>
    <x v="373"/>
    <x v="60"/>
    <x v="96"/>
    <x v="0"/>
    <x v="26"/>
  </r>
  <r>
    <x v="29"/>
    <x v="0"/>
    <x v="0"/>
    <x v="3"/>
    <x v="29"/>
    <x v="29"/>
    <x v="57"/>
    <x v="57"/>
    <x v="57"/>
    <x v="57"/>
    <x v="8"/>
    <x v="211"/>
    <x v="80"/>
    <x v="91"/>
    <x v="212"/>
    <x v="72"/>
    <x v="290"/>
    <x v="0"/>
    <x v="26"/>
  </r>
  <r>
    <x v="29"/>
    <x v="0"/>
    <x v="0"/>
    <x v="3"/>
    <x v="29"/>
    <x v="29"/>
    <x v="4"/>
    <x v="4"/>
    <x v="4"/>
    <x v="4"/>
    <x v="9"/>
    <x v="227"/>
    <x v="29"/>
    <x v="56"/>
    <x v="374"/>
    <x v="83"/>
    <x v="291"/>
    <x v="0"/>
    <x v="26"/>
  </r>
  <r>
    <x v="29"/>
    <x v="0"/>
    <x v="0"/>
    <x v="3"/>
    <x v="29"/>
    <x v="29"/>
    <x v="18"/>
    <x v="18"/>
    <x v="18"/>
    <x v="18"/>
    <x v="10"/>
    <x v="228"/>
    <x v="10"/>
    <x v="118"/>
    <x v="324"/>
    <x v="72"/>
    <x v="290"/>
    <x v="0"/>
    <x v="26"/>
  </r>
  <r>
    <x v="29"/>
    <x v="0"/>
    <x v="0"/>
    <x v="3"/>
    <x v="29"/>
    <x v="29"/>
    <x v="58"/>
    <x v="58"/>
    <x v="58"/>
    <x v="58"/>
    <x v="11"/>
    <x v="212"/>
    <x v="266"/>
    <x v="118"/>
    <x v="324"/>
    <x v="79"/>
    <x v="113"/>
    <x v="0"/>
    <x v="26"/>
  </r>
  <r>
    <x v="29"/>
    <x v="0"/>
    <x v="0"/>
    <x v="3"/>
    <x v="29"/>
    <x v="29"/>
    <x v="59"/>
    <x v="59"/>
    <x v="59"/>
    <x v="59"/>
    <x v="12"/>
    <x v="229"/>
    <x v="31"/>
    <x v="114"/>
    <x v="375"/>
    <x v="55"/>
    <x v="288"/>
    <x v="0"/>
    <x v="26"/>
  </r>
  <r>
    <x v="29"/>
    <x v="0"/>
    <x v="0"/>
    <x v="3"/>
    <x v="29"/>
    <x v="29"/>
    <x v="60"/>
    <x v="60"/>
    <x v="60"/>
    <x v="60"/>
    <x v="12"/>
    <x v="229"/>
    <x v="31"/>
    <x v="118"/>
    <x v="324"/>
    <x v="83"/>
    <x v="291"/>
    <x v="0"/>
    <x v="26"/>
  </r>
  <r>
    <x v="29"/>
    <x v="0"/>
    <x v="0"/>
    <x v="3"/>
    <x v="29"/>
    <x v="29"/>
    <x v="61"/>
    <x v="61"/>
    <x v="61"/>
    <x v="61"/>
    <x v="12"/>
    <x v="229"/>
    <x v="31"/>
    <x v="54"/>
    <x v="288"/>
    <x v="75"/>
    <x v="245"/>
    <x v="0"/>
    <x v="26"/>
  </r>
  <r>
    <x v="29"/>
    <x v="0"/>
    <x v="0"/>
    <x v="3"/>
    <x v="29"/>
    <x v="29"/>
    <x v="14"/>
    <x v="14"/>
    <x v="14"/>
    <x v="14"/>
    <x v="12"/>
    <x v="229"/>
    <x v="31"/>
    <x v="89"/>
    <x v="123"/>
    <x v="59"/>
    <x v="121"/>
    <x v="0"/>
    <x v="26"/>
  </r>
  <r>
    <x v="29"/>
    <x v="0"/>
    <x v="0"/>
    <x v="3"/>
    <x v="29"/>
    <x v="29"/>
    <x v="62"/>
    <x v="62"/>
    <x v="62"/>
    <x v="62"/>
    <x v="16"/>
    <x v="214"/>
    <x v="143"/>
    <x v="118"/>
    <x v="324"/>
    <x v="85"/>
    <x v="289"/>
    <x v="0"/>
    <x v="26"/>
  </r>
  <r>
    <x v="29"/>
    <x v="0"/>
    <x v="0"/>
    <x v="3"/>
    <x v="29"/>
    <x v="29"/>
    <x v="11"/>
    <x v="11"/>
    <x v="11"/>
    <x v="11"/>
    <x v="17"/>
    <x v="234"/>
    <x v="15"/>
    <x v="116"/>
    <x v="38"/>
    <x v="79"/>
    <x v="113"/>
    <x v="0"/>
    <x v="26"/>
  </r>
  <r>
    <x v="29"/>
    <x v="0"/>
    <x v="0"/>
    <x v="3"/>
    <x v="29"/>
    <x v="29"/>
    <x v="12"/>
    <x v="12"/>
    <x v="12"/>
    <x v="12"/>
    <x v="17"/>
    <x v="234"/>
    <x v="15"/>
    <x v="56"/>
    <x v="374"/>
    <x v="65"/>
    <x v="90"/>
    <x v="0"/>
    <x v="26"/>
  </r>
  <r>
    <x v="29"/>
    <x v="0"/>
    <x v="0"/>
    <x v="3"/>
    <x v="29"/>
    <x v="29"/>
    <x v="41"/>
    <x v="41"/>
    <x v="41"/>
    <x v="41"/>
    <x v="17"/>
    <x v="234"/>
    <x v="15"/>
    <x v="151"/>
    <x v="88"/>
    <x v="55"/>
    <x v="288"/>
    <x v="0"/>
    <x v="26"/>
  </r>
  <r>
    <x v="30"/>
    <x v="0"/>
    <x v="0"/>
    <x v="3"/>
    <x v="30"/>
    <x v="30"/>
    <x v="63"/>
    <x v="63"/>
    <x v="63"/>
    <x v="63"/>
    <x v="0"/>
    <x v="56"/>
    <x v="267"/>
    <x v="58"/>
    <x v="376"/>
    <x v="55"/>
    <x v="267"/>
    <x v="0"/>
    <x v="0"/>
  </r>
  <r>
    <x v="30"/>
    <x v="0"/>
    <x v="0"/>
    <x v="3"/>
    <x v="30"/>
    <x v="30"/>
    <x v="0"/>
    <x v="0"/>
    <x v="0"/>
    <x v="0"/>
    <x v="1"/>
    <x v="73"/>
    <x v="268"/>
    <x v="126"/>
    <x v="377"/>
    <x v="74"/>
    <x v="228"/>
    <x v="0"/>
    <x v="0"/>
  </r>
  <r>
    <x v="30"/>
    <x v="0"/>
    <x v="0"/>
    <x v="3"/>
    <x v="30"/>
    <x v="30"/>
    <x v="10"/>
    <x v="10"/>
    <x v="10"/>
    <x v="10"/>
    <x v="2"/>
    <x v="124"/>
    <x v="183"/>
    <x v="93"/>
    <x v="378"/>
    <x v="43"/>
    <x v="292"/>
    <x v="0"/>
    <x v="0"/>
  </r>
  <r>
    <x v="30"/>
    <x v="0"/>
    <x v="0"/>
    <x v="3"/>
    <x v="30"/>
    <x v="30"/>
    <x v="42"/>
    <x v="42"/>
    <x v="42"/>
    <x v="42"/>
    <x v="3"/>
    <x v="107"/>
    <x v="269"/>
    <x v="113"/>
    <x v="379"/>
    <x v="85"/>
    <x v="54"/>
    <x v="0"/>
    <x v="0"/>
  </r>
  <r>
    <x v="30"/>
    <x v="0"/>
    <x v="0"/>
    <x v="3"/>
    <x v="30"/>
    <x v="30"/>
    <x v="2"/>
    <x v="2"/>
    <x v="2"/>
    <x v="2"/>
    <x v="4"/>
    <x v="108"/>
    <x v="75"/>
    <x v="145"/>
    <x v="77"/>
    <x v="55"/>
    <x v="267"/>
    <x v="0"/>
    <x v="0"/>
  </r>
  <r>
    <x v="30"/>
    <x v="0"/>
    <x v="0"/>
    <x v="3"/>
    <x v="30"/>
    <x v="30"/>
    <x v="4"/>
    <x v="4"/>
    <x v="4"/>
    <x v="4"/>
    <x v="5"/>
    <x v="112"/>
    <x v="186"/>
    <x v="73"/>
    <x v="380"/>
    <x v="85"/>
    <x v="54"/>
    <x v="0"/>
    <x v="0"/>
  </r>
  <r>
    <x v="30"/>
    <x v="0"/>
    <x v="0"/>
    <x v="3"/>
    <x v="30"/>
    <x v="30"/>
    <x v="6"/>
    <x v="6"/>
    <x v="6"/>
    <x v="6"/>
    <x v="6"/>
    <x v="114"/>
    <x v="207"/>
    <x v="75"/>
    <x v="381"/>
    <x v="61"/>
    <x v="62"/>
    <x v="0"/>
    <x v="0"/>
  </r>
  <r>
    <x v="30"/>
    <x v="0"/>
    <x v="0"/>
    <x v="3"/>
    <x v="30"/>
    <x v="30"/>
    <x v="25"/>
    <x v="25"/>
    <x v="25"/>
    <x v="25"/>
    <x v="7"/>
    <x v="202"/>
    <x v="7"/>
    <x v="94"/>
    <x v="382"/>
    <x v="60"/>
    <x v="18"/>
    <x v="0"/>
    <x v="0"/>
  </r>
  <r>
    <x v="30"/>
    <x v="0"/>
    <x v="0"/>
    <x v="3"/>
    <x v="30"/>
    <x v="30"/>
    <x v="1"/>
    <x v="1"/>
    <x v="1"/>
    <x v="1"/>
    <x v="8"/>
    <x v="230"/>
    <x v="187"/>
    <x v="76"/>
    <x v="274"/>
    <x v="65"/>
    <x v="293"/>
    <x v="0"/>
    <x v="0"/>
  </r>
  <r>
    <x v="30"/>
    <x v="0"/>
    <x v="0"/>
    <x v="3"/>
    <x v="30"/>
    <x v="30"/>
    <x v="17"/>
    <x v="17"/>
    <x v="17"/>
    <x v="17"/>
    <x v="9"/>
    <x v="205"/>
    <x v="270"/>
    <x v="74"/>
    <x v="288"/>
    <x v="71"/>
    <x v="294"/>
    <x v="0"/>
    <x v="0"/>
  </r>
  <r>
    <x v="30"/>
    <x v="0"/>
    <x v="0"/>
    <x v="3"/>
    <x v="30"/>
    <x v="30"/>
    <x v="12"/>
    <x v="12"/>
    <x v="12"/>
    <x v="12"/>
    <x v="10"/>
    <x v="226"/>
    <x v="27"/>
    <x v="90"/>
    <x v="87"/>
    <x v="59"/>
    <x v="295"/>
    <x v="0"/>
    <x v="0"/>
  </r>
  <r>
    <x v="30"/>
    <x v="0"/>
    <x v="0"/>
    <x v="3"/>
    <x v="30"/>
    <x v="30"/>
    <x v="7"/>
    <x v="7"/>
    <x v="7"/>
    <x v="7"/>
    <x v="10"/>
    <x v="226"/>
    <x v="27"/>
    <x v="108"/>
    <x v="383"/>
    <x v="65"/>
    <x v="293"/>
    <x v="0"/>
    <x v="0"/>
  </r>
  <r>
    <x v="30"/>
    <x v="0"/>
    <x v="0"/>
    <x v="3"/>
    <x v="30"/>
    <x v="30"/>
    <x v="64"/>
    <x v="64"/>
    <x v="64"/>
    <x v="64"/>
    <x v="12"/>
    <x v="227"/>
    <x v="232"/>
    <x v="108"/>
    <x v="383"/>
    <x v="61"/>
    <x v="62"/>
    <x v="0"/>
    <x v="0"/>
  </r>
  <r>
    <x v="30"/>
    <x v="0"/>
    <x v="0"/>
    <x v="3"/>
    <x v="30"/>
    <x v="30"/>
    <x v="19"/>
    <x v="19"/>
    <x v="19"/>
    <x v="19"/>
    <x v="12"/>
    <x v="227"/>
    <x v="232"/>
    <x v="50"/>
    <x v="48"/>
    <x v="65"/>
    <x v="293"/>
    <x v="0"/>
    <x v="0"/>
  </r>
  <r>
    <x v="30"/>
    <x v="0"/>
    <x v="0"/>
    <x v="3"/>
    <x v="30"/>
    <x v="30"/>
    <x v="13"/>
    <x v="13"/>
    <x v="13"/>
    <x v="13"/>
    <x v="14"/>
    <x v="228"/>
    <x v="159"/>
    <x v="151"/>
    <x v="215"/>
    <x v="60"/>
    <x v="18"/>
    <x v="0"/>
    <x v="0"/>
  </r>
  <r>
    <x v="30"/>
    <x v="0"/>
    <x v="0"/>
    <x v="3"/>
    <x v="30"/>
    <x v="30"/>
    <x v="35"/>
    <x v="35"/>
    <x v="35"/>
    <x v="35"/>
    <x v="15"/>
    <x v="213"/>
    <x v="52"/>
    <x v="56"/>
    <x v="74"/>
    <x v="59"/>
    <x v="295"/>
    <x v="0"/>
    <x v="0"/>
  </r>
  <r>
    <x v="30"/>
    <x v="0"/>
    <x v="0"/>
    <x v="3"/>
    <x v="30"/>
    <x v="30"/>
    <x v="54"/>
    <x v="54"/>
    <x v="54"/>
    <x v="54"/>
    <x v="16"/>
    <x v="229"/>
    <x v="271"/>
    <x v="151"/>
    <x v="215"/>
    <x v="56"/>
    <x v="296"/>
    <x v="0"/>
    <x v="0"/>
  </r>
  <r>
    <x v="30"/>
    <x v="0"/>
    <x v="0"/>
    <x v="3"/>
    <x v="30"/>
    <x v="30"/>
    <x v="5"/>
    <x v="5"/>
    <x v="5"/>
    <x v="5"/>
    <x v="17"/>
    <x v="214"/>
    <x v="244"/>
    <x v="56"/>
    <x v="74"/>
    <x v="65"/>
    <x v="293"/>
    <x v="5"/>
    <x v="14"/>
  </r>
  <r>
    <x v="30"/>
    <x v="0"/>
    <x v="0"/>
    <x v="3"/>
    <x v="30"/>
    <x v="30"/>
    <x v="47"/>
    <x v="47"/>
    <x v="47"/>
    <x v="47"/>
    <x v="18"/>
    <x v="234"/>
    <x v="15"/>
    <x v="54"/>
    <x v="384"/>
    <x v="85"/>
    <x v="54"/>
    <x v="0"/>
    <x v="0"/>
  </r>
  <r>
    <x v="30"/>
    <x v="0"/>
    <x v="0"/>
    <x v="3"/>
    <x v="30"/>
    <x v="30"/>
    <x v="16"/>
    <x v="16"/>
    <x v="16"/>
    <x v="16"/>
    <x v="18"/>
    <x v="234"/>
    <x v="15"/>
    <x v="91"/>
    <x v="13"/>
    <x v="74"/>
    <x v="228"/>
    <x v="0"/>
    <x v="0"/>
  </r>
  <r>
    <x v="31"/>
    <x v="0"/>
    <x v="0"/>
    <x v="3"/>
    <x v="31"/>
    <x v="31"/>
    <x v="44"/>
    <x v="44"/>
    <x v="44"/>
    <x v="44"/>
    <x v="0"/>
    <x v="98"/>
    <x v="272"/>
    <x v="134"/>
    <x v="229"/>
    <x v="79"/>
    <x v="297"/>
    <x v="0"/>
    <x v="0"/>
  </r>
  <r>
    <x v="31"/>
    <x v="0"/>
    <x v="0"/>
    <x v="3"/>
    <x v="31"/>
    <x v="31"/>
    <x v="10"/>
    <x v="10"/>
    <x v="10"/>
    <x v="10"/>
    <x v="1"/>
    <x v="108"/>
    <x v="73"/>
    <x v="151"/>
    <x v="118"/>
    <x v="43"/>
    <x v="298"/>
    <x v="0"/>
    <x v="0"/>
  </r>
  <r>
    <x v="31"/>
    <x v="0"/>
    <x v="0"/>
    <x v="3"/>
    <x v="31"/>
    <x v="31"/>
    <x v="0"/>
    <x v="0"/>
    <x v="0"/>
    <x v="0"/>
    <x v="2"/>
    <x v="109"/>
    <x v="114"/>
    <x v="55"/>
    <x v="290"/>
    <x v="55"/>
    <x v="181"/>
    <x v="0"/>
    <x v="0"/>
  </r>
  <r>
    <x v="31"/>
    <x v="0"/>
    <x v="0"/>
    <x v="3"/>
    <x v="31"/>
    <x v="31"/>
    <x v="4"/>
    <x v="4"/>
    <x v="4"/>
    <x v="4"/>
    <x v="3"/>
    <x v="205"/>
    <x v="165"/>
    <x v="107"/>
    <x v="385"/>
    <x v="75"/>
    <x v="299"/>
    <x v="0"/>
    <x v="0"/>
  </r>
  <r>
    <x v="31"/>
    <x v="0"/>
    <x v="0"/>
    <x v="3"/>
    <x v="31"/>
    <x v="31"/>
    <x v="6"/>
    <x v="6"/>
    <x v="6"/>
    <x v="6"/>
    <x v="4"/>
    <x v="211"/>
    <x v="89"/>
    <x v="94"/>
    <x v="8"/>
    <x v="61"/>
    <x v="62"/>
    <x v="0"/>
    <x v="0"/>
  </r>
  <r>
    <x v="31"/>
    <x v="0"/>
    <x v="0"/>
    <x v="3"/>
    <x v="31"/>
    <x v="31"/>
    <x v="13"/>
    <x v="13"/>
    <x v="13"/>
    <x v="13"/>
    <x v="5"/>
    <x v="228"/>
    <x v="67"/>
    <x v="114"/>
    <x v="386"/>
    <x v="74"/>
    <x v="237"/>
    <x v="0"/>
    <x v="0"/>
  </r>
  <r>
    <x v="31"/>
    <x v="0"/>
    <x v="0"/>
    <x v="3"/>
    <x v="31"/>
    <x v="31"/>
    <x v="42"/>
    <x v="42"/>
    <x v="42"/>
    <x v="42"/>
    <x v="6"/>
    <x v="212"/>
    <x v="8"/>
    <x v="93"/>
    <x v="209"/>
    <x v="65"/>
    <x v="300"/>
    <x v="0"/>
    <x v="0"/>
  </r>
  <r>
    <x v="31"/>
    <x v="0"/>
    <x v="0"/>
    <x v="3"/>
    <x v="31"/>
    <x v="31"/>
    <x v="1"/>
    <x v="1"/>
    <x v="1"/>
    <x v="1"/>
    <x v="6"/>
    <x v="212"/>
    <x v="8"/>
    <x v="93"/>
    <x v="209"/>
    <x v="65"/>
    <x v="300"/>
    <x v="0"/>
    <x v="0"/>
  </r>
  <r>
    <x v="31"/>
    <x v="0"/>
    <x v="0"/>
    <x v="3"/>
    <x v="31"/>
    <x v="31"/>
    <x v="5"/>
    <x v="5"/>
    <x v="5"/>
    <x v="5"/>
    <x v="8"/>
    <x v="229"/>
    <x v="121"/>
    <x v="93"/>
    <x v="209"/>
    <x v="61"/>
    <x v="62"/>
    <x v="0"/>
    <x v="0"/>
  </r>
  <r>
    <x v="31"/>
    <x v="0"/>
    <x v="0"/>
    <x v="3"/>
    <x v="31"/>
    <x v="31"/>
    <x v="2"/>
    <x v="2"/>
    <x v="2"/>
    <x v="2"/>
    <x v="9"/>
    <x v="214"/>
    <x v="180"/>
    <x v="107"/>
    <x v="385"/>
    <x v="55"/>
    <x v="181"/>
    <x v="0"/>
    <x v="0"/>
  </r>
  <r>
    <x v="31"/>
    <x v="0"/>
    <x v="0"/>
    <x v="3"/>
    <x v="31"/>
    <x v="31"/>
    <x v="16"/>
    <x v="16"/>
    <x v="16"/>
    <x v="16"/>
    <x v="9"/>
    <x v="214"/>
    <x v="180"/>
    <x v="151"/>
    <x v="118"/>
    <x v="65"/>
    <x v="300"/>
    <x v="0"/>
    <x v="0"/>
  </r>
  <r>
    <x v="31"/>
    <x v="0"/>
    <x v="0"/>
    <x v="3"/>
    <x v="31"/>
    <x v="31"/>
    <x v="19"/>
    <x v="19"/>
    <x v="19"/>
    <x v="19"/>
    <x v="11"/>
    <x v="235"/>
    <x v="132"/>
    <x v="118"/>
    <x v="336"/>
    <x v="59"/>
    <x v="199"/>
    <x v="0"/>
    <x v="0"/>
  </r>
  <r>
    <x v="31"/>
    <x v="0"/>
    <x v="0"/>
    <x v="3"/>
    <x v="31"/>
    <x v="31"/>
    <x v="11"/>
    <x v="11"/>
    <x v="11"/>
    <x v="11"/>
    <x v="11"/>
    <x v="235"/>
    <x v="132"/>
    <x v="91"/>
    <x v="121"/>
    <x v="56"/>
    <x v="5"/>
    <x v="0"/>
    <x v="0"/>
  </r>
  <r>
    <x v="31"/>
    <x v="0"/>
    <x v="0"/>
    <x v="3"/>
    <x v="31"/>
    <x v="31"/>
    <x v="18"/>
    <x v="18"/>
    <x v="18"/>
    <x v="18"/>
    <x v="11"/>
    <x v="235"/>
    <x v="132"/>
    <x v="116"/>
    <x v="9"/>
    <x v="75"/>
    <x v="299"/>
    <x v="0"/>
    <x v="0"/>
  </r>
  <r>
    <x v="31"/>
    <x v="0"/>
    <x v="0"/>
    <x v="3"/>
    <x v="31"/>
    <x v="31"/>
    <x v="29"/>
    <x v="29"/>
    <x v="29"/>
    <x v="29"/>
    <x v="14"/>
    <x v="215"/>
    <x v="12"/>
    <x v="89"/>
    <x v="194"/>
    <x v="55"/>
    <x v="181"/>
    <x v="0"/>
    <x v="0"/>
  </r>
  <r>
    <x v="31"/>
    <x v="0"/>
    <x v="0"/>
    <x v="3"/>
    <x v="31"/>
    <x v="31"/>
    <x v="7"/>
    <x v="7"/>
    <x v="7"/>
    <x v="7"/>
    <x v="14"/>
    <x v="215"/>
    <x v="12"/>
    <x v="56"/>
    <x v="135"/>
    <x v="61"/>
    <x v="62"/>
    <x v="0"/>
    <x v="0"/>
  </r>
  <r>
    <x v="31"/>
    <x v="0"/>
    <x v="0"/>
    <x v="3"/>
    <x v="31"/>
    <x v="31"/>
    <x v="34"/>
    <x v="34"/>
    <x v="34"/>
    <x v="34"/>
    <x v="16"/>
    <x v="217"/>
    <x v="14"/>
    <x v="195"/>
    <x v="387"/>
    <x v="74"/>
    <x v="237"/>
    <x v="0"/>
    <x v="0"/>
  </r>
  <r>
    <x v="31"/>
    <x v="0"/>
    <x v="0"/>
    <x v="3"/>
    <x v="31"/>
    <x v="31"/>
    <x v="47"/>
    <x v="47"/>
    <x v="47"/>
    <x v="47"/>
    <x v="16"/>
    <x v="217"/>
    <x v="14"/>
    <x v="211"/>
    <x v="388"/>
    <x v="72"/>
    <x v="124"/>
    <x v="0"/>
    <x v="0"/>
  </r>
  <r>
    <x v="31"/>
    <x v="0"/>
    <x v="0"/>
    <x v="3"/>
    <x v="31"/>
    <x v="31"/>
    <x v="26"/>
    <x v="26"/>
    <x v="26"/>
    <x v="26"/>
    <x v="16"/>
    <x v="217"/>
    <x v="14"/>
    <x v="54"/>
    <x v="324"/>
    <x v="56"/>
    <x v="5"/>
    <x v="0"/>
    <x v="0"/>
  </r>
  <r>
    <x v="31"/>
    <x v="0"/>
    <x v="0"/>
    <x v="3"/>
    <x v="31"/>
    <x v="31"/>
    <x v="41"/>
    <x v="41"/>
    <x v="41"/>
    <x v="41"/>
    <x v="16"/>
    <x v="217"/>
    <x v="14"/>
    <x v="54"/>
    <x v="324"/>
    <x v="56"/>
    <x v="5"/>
    <x v="0"/>
    <x v="0"/>
  </r>
  <r>
    <x v="32"/>
    <x v="0"/>
    <x v="0"/>
    <x v="3"/>
    <x v="32"/>
    <x v="32"/>
    <x v="0"/>
    <x v="0"/>
    <x v="0"/>
    <x v="0"/>
    <x v="0"/>
    <x v="183"/>
    <x v="273"/>
    <x v="47"/>
    <x v="389"/>
    <x v="59"/>
    <x v="89"/>
    <x v="0"/>
    <x v="0"/>
  </r>
  <r>
    <x v="32"/>
    <x v="0"/>
    <x v="0"/>
    <x v="3"/>
    <x v="32"/>
    <x v="32"/>
    <x v="10"/>
    <x v="10"/>
    <x v="10"/>
    <x v="10"/>
    <x v="1"/>
    <x v="93"/>
    <x v="274"/>
    <x v="71"/>
    <x v="375"/>
    <x v="93"/>
    <x v="208"/>
    <x v="0"/>
    <x v="0"/>
  </r>
  <r>
    <x v="32"/>
    <x v="0"/>
    <x v="0"/>
    <x v="3"/>
    <x v="32"/>
    <x v="32"/>
    <x v="6"/>
    <x v="6"/>
    <x v="6"/>
    <x v="6"/>
    <x v="2"/>
    <x v="95"/>
    <x v="116"/>
    <x v="86"/>
    <x v="270"/>
    <x v="65"/>
    <x v="93"/>
    <x v="0"/>
    <x v="0"/>
  </r>
  <r>
    <x v="32"/>
    <x v="0"/>
    <x v="0"/>
    <x v="3"/>
    <x v="32"/>
    <x v="32"/>
    <x v="42"/>
    <x v="42"/>
    <x v="42"/>
    <x v="42"/>
    <x v="3"/>
    <x v="221"/>
    <x v="205"/>
    <x v="51"/>
    <x v="390"/>
    <x v="71"/>
    <x v="224"/>
    <x v="0"/>
    <x v="0"/>
  </r>
  <r>
    <x v="32"/>
    <x v="0"/>
    <x v="0"/>
    <x v="3"/>
    <x v="32"/>
    <x v="32"/>
    <x v="13"/>
    <x v="13"/>
    <x v="13"/>
    <x v="13"/>
    <x v="4"/>
    <x v="98"/>
    <x v="235"/>
    <x v="113"/>
    <x v="248"/>
    <x v="47"/>
    <x v="94"/>
    <x v="0"/>
    <x v="0"/>
  </r>
  <r>
    <x v="32"/>
    <x v="0"/>
    <x v="0"/>
    <x v="3"/>
    <x v="32"/>
    <x v="32"/>
    <x v="4"/>
    <x v="4"/>
    <x v="4"/>
    <x v="4"/>
    <x v="5"/>
    <x v="73"/>
    <x v="106"/>
    <x v="115"/>
    <x v="322"/>
    <x v="44"/>
    <x v="169"/>
    <x v="0"/>
    <x v="0"/>
  </r>
  <r>
    <x v="32"/>
    <x v="0"/>
    <x v="0"/>
    <x v="3"/>
    <x v="32"/>
    <x v="32"/>
    <x v="5"/>
    <x v="5"/>
    <x v="5"/>
    <x v="5"/>
    <x v="6"/>
    <x v="124"/>
    <x v="93"/>
    <x v="145"/>
    <x v="391"/>
    <x v="74"/>
    <x v="99"/>
    <x v="0"/>
    <x v="0"/>
  </r>
  <r>
    <x v="32"/>
    <x v="0"/>
    <x v="0"/>
    <x v="3"/>
    <x v="32"/>
    <x v="32"/>
    <x v="3"/>
    <x v="3"/>
    <x v="3"/>
    <x v="3"/>
    <x v="7"/>
    <x v="107"/>
    <x v="49"/>
    <x v="92"/>
    <x v="344"/>
    <x v="61"/>
    <x v="62"/>
    <x v="0"/>
    <x v="0"/>
  </r>
  <r>
    <x v="32"/>
    <x v="0"/>
    <x v="0"/>
    <x v="3"/>
    <x v="32"/>
    <x v="32"/>
    <x v="19"/>
    <x v="19"/>
    <x v="19"/>
    <x v="19"/>
    <x v="8"/>
    <x v="109"/>
    <x v="258"/>
    <x v="73"/>
    <x v="392"/>
    <x v="79"/>
    <x v="291"/>
    <x v="0"/>
    <x v="0"/>
  </r>
  <r>
    <x v="32"/>
    <x v="0"/>
    <x v="0"/>
    <x v="3"/>
    <x v="32"/>
    <x v="32"/>
    <x v="7"/>
    <x v="7"/>
    <x v="7"/>
    <x v="7"/>
    <x v="9"/>
    <x v="110"/>
    <x v="141"/>
    <x v="146"/>
    <x v="378"/>
    <x v="85"/>
    <x v="179"/>
    <x v="0"/>
    <x v="0"/>
  </r>
  <r>
    <x v="32"/>
    <x v="0"/>
    <x v="0"/>
    <x v="3"/>
    <x v="32"/>
    <x v="32"/>
    <x v="2"/>
    <x v="2"/>
    <x v="2"/>
    <x v="2"/>
    <x v="9"/>
    <x v="110"/>
    <x v="141"/>
    <x v="55"/>
    <x v="56"/>
    <x v="61"/>
    <x v="62"/>
    <x v="0"/>
    <x v="0"/>
  </r>
  <r>
    <x v="32"/>
    <x v="0"/>
    <x v="0"/>
    <x v="3"/>
    <x v="32"/>
    <x v="32"/>
    <x v="17"/>
    <x v="17"/>
    <x v="17"/>
    <x v="17"/>
    <x v="11"/>
    <x v="113"/>
    <x v="30"/>
    <x v="107"/>
    <x v="198"/>
    <x v="58"/>
    <x v="301"/>
    <x v="0"/>
    <x v="0"/>
  </r>
  <r>
    <x v="32"/>
    <x v="0"/>
    <x v="0"/>
    <x v="3"/>
    <x v="32"/>
    <x v="32"/>
    <x v="18"/>
    <x v="18"/>
    <x v="18"/>
    <x v="18"/>
    <x v="11"/>
    <x v="113"/>
    <x v="30"/>
    <x v="93"/>
    <x v="288"/>
    <x v="45"/>
    <x v="100"/>
    <x v="0"/>
    <x v="0"/>
  </r>
  <r>
    <x v="32"/>
    <x v="0"/>
    <x v="0"/>
    <x v="3"/>
    <x v="32"/>
    <x v="32"/>
    <x v="35"/>
    <x v="35"/>
    <x v="35"/>
    <x v="35"/>
    <x v="13"/>
    <x v="114"/>
    <x v="110"/>
    <x v="108"/>
    <x v="35"/>
    <x v="79"/>
    <x v="291"/>
    <x v="0"/>
    <x v="0"/>
  </r>
  <r>
    <x v="32"/>
    <x v="0"/>
    <x v="0"/>
    <x v="3"/>
    <x v="32"/>
    <x v="32"/>
    <x v="1"/>
    <x v="1"/>
    <x v="1"/>
    <x v="1"/>
    <x v="14"/>
    <x v="200"/>
    <x v="13"/>
    <x v="50"/>
    <x v="193"/>
    <x v="72"/>
    <x v="18"/>
    <x v="0"/>
    <x v="0"/>
  </r>
  <r>
    <x v="32"/>
    <x v="0"/>
    <x v="0"/>
    <x v="3"/>
    <x v="32"/>
    <x v="32"/>
    <x v="11"/>
    <x v="11"/>
    <x v="11"/>
    <x v="11"/>
    <x v="15"/>
    <x v="201"/>
    <x v="33"/>
    <x v="132"/>
    <x v="92"/>
    <x v="75"/>
    <x v="13"/>
    <x v="0"/>
    <x v="0"/>
  </r>
  <r>
    <x v="32"/>
    <x v="0"/>
    <x v="0"/>
    <x v="3"/>
    <x v="32"/>
    <x v="32"/>
    <x v="65"/>
    <x v="65"/>
    <x v="65"/>
    <x v="65"/>
    <x v="16"/>
    <x v="202"/>
    <x v="143"/>
    <x v="94"/>
    <x v="393"/>
    <x v="60"/>
    <x v="275"/>
    <x v="0"/>
    <x v="0"/>
  </r>
  <r>
    <x v="32"/>
    <x v="0"/>
    <x v="0"/>
    <x v="3"/>
    <x v="32"/>
    <x v="32"/>
    <x v="16"/>
    <x v="16"/>
    <x v="16"/>
    <x v="16"/>
    <x v="16"/>
    <x v="202"/>
    <x v="143"/>
    <x v="76"/>
    <x v="394"/>
    <x v="74"/>
    <x v="99"/>
    <x v="0"/>
    <x v="0"/>
  </r>
  <r>
    <x v="32"/>
    <x v="0"/>
    <x v="0"/>
    <x v="3"/>
    <x v="32"/>
    <x v="32"/>
    <x v="59"/>
    <x v="59"/>
    <x v="59"/>
    <x v="59"/>
    <x v="18"/>
    <x v="203"/>
    <x v="34"/>
    <x v="73"/>
    <x v="392"/>
    <x v="61"/>
    <x v="62"/>
    <x v="0"/>
    <x v="0"/>
  </r>
  <r>
    <x v="32"/>
    <x v="0"/>
    <x v="0"/>
    <x v="3"/>
    <x v="32"/>
    <x v="32"/>
    <x v="64"/>
    <x v="64"/>
    <x v="64"/>
    <x v="64"/>
    <x v="19"/>
    <x v="230"/>
    <x v="16"/>
    <x v="76"/>
    <x v="394"/>
    <x v="65"/>
    <x v="93"/>
    <x v="0"/>
    <x v="0"/>
  </r>
  <r>
    <x v="32"/>
    <x v="0"/>
    <x v="0"/>
    <x v="3"/>
    <x v="32"/>
    <x v="32"/>
    <x v="66"/>
    <x v="66"/>
    <x v="66"/>
    <x v="66"/>
    <x v="19"/>
    <x v="230"/>
    <x v="16"/>
    <x v="107"/>
    <x v="198"/>
    <x v="72"/>
    <x v="18"/>
    <x v="0"/>
    <x v="0"/>
  </r>
  <r>
    <x v="32"/>
    <x v="0"/>
    <x v="0"/>
    <x v="3"/>
    <x v="32"/>
    <x v="32"/>
    <x v="41"/>
    <x v="41"/>
    <x v="41"/>
    <x v="41"/>
    <x v="19"/>
    <x v="230"/>
    <x v="16"/>
    <x v="120"/>
    <x v="395"/>
    <x v="55"/>
    <x v="20"/>
    <x v="0"/>
    <x v="0"/>
  </r>
  <r>
    <x v="33"/>
    <x v="0"/>
    <x v="0"/>
    <x v="3"/>
    <x v="33"/>
    <x v="33"/>
    <x v="67"/>
    <x v="67"/>
    <x v="67"/>
    <x v="67"/>
    <x v="0"/>
    <x v="207"/>
    <x v="275"/>
    <x v="69"/>
    <x v="396"/>
    <x v="67"/>
    <x v="302"/>
    <x v="0"/>
    <x v="0"/>
  </r>
  <r>
    <x v="33"/>
    <x v="0"/>
    <x v="0"/>
    <x v="3"/>
    <x v="33"/>
    <x v="33"/>
    <x v="0"/>
    <x v="0"/>
    <x v="0"/>
    <x v="0"/>
    <x v="1"/>
    <x v="68"/>
    <x v="217"/>
    <x v="70"/>
    <x v="397"/>
    <x v="61"/>
    <x v="62"/>
    <x v="0"/>
    <x v="0"/>
  </r>
  <r>
    <x v="33"/>
    <x v="0"/>
    <x v="0"/>
    <x v="3"/>
    <x v="33"/>
    <x v="33"/>
    <x v="1"/>
    <x v="1"/>
    <x v="1"/>
    <x v="1"/>
    <x v="2"/>
    <x v="119"/>
    <x v="260"/>
    <x v="199"/>
    <x v="398"/>
    <x v="79"/>
    <x v="105"/>
    <x v="0"/>
    <x v="0"/>
  </r>
  <r>
    <x v="33"/>
    <x v="0"/>
    <x v="0"/>
    <x v="3"/>
    <x v="33"/>
    <x v="33"/>
    <x v="6"/>
    <x v="6"/>
    <x v="6"/>
    <x v="6"/>
    <x v="3"/>
    <x v="69"/>
    <x v="154"/>
    <x v="112"/>
    <x v="399"/>
    <x v="61"/>
    <x v="62"/>
    <x v="0"/>
    <x v="0"/>
  </r>
  <r>
    <x v="33"/>
    <x v="0"/>
    <x v="0"/>
    <x v="3"/>
    <x v="33"/>
    <x v="33"/>
    <x v="4"/>
    <x v="4"/>
    <x v="4"/>
    <x v="4"/>
    <x v="4"/>
    <x v="71"/>
    <x v="64"/>
    <x v="110"/>
    <x v="191"/>
    <x v="85"/>
    <x v="273"/>
    <x v="0"/>
    <x v="0"/>
  </r>
  <r>
    <x v="33"/>
    <x v="0"/>
    <x v="0"/>
    <x v="3"/>
    <x v="33"/>
    <x v="33"/>
    <x v="2"/>
    <x v="2"/>
    <x v="2"/>
    <x v="2"/>
    <x v="5"/>
    <x v="145"/>
    <x v="4"/>
    <x v="59"/>
    <x v="206"/>
    <x v="61"/>
    <x v="62"/>
    <x v="0"/>
    <x v="0"/>
  </r>
  <r>
    <x v="33"/>
    <x v="0"/>
    <x v="0"/>
    <x v="3"/>
    <x v="33"/>
    <x v="33"/>
    <x v="41"/>
    <x v="41"/>
    <x v="41"/>
    <x v="41"/>
    <x v="6"/>
    <x v="72"/>
    <x v="89"/>
    <x v="43"/>
    <x v="97"/>
    <x v="60"/>
    <x v="119"/>
    <x v="0"/>
    <x v="0"/>
  </r>
  <r>
    <x v="33"/>
    <x v="0"/>
    <x v="0"/>
    <x v="3"/>
    <x v="33"/>
    <x v="33"/>
    <x v="10"/>
    <x v="10"/>
    <x v="10"/>
    <x v="10"/>
    <x v="7"/>
    <x v="74"/>
    <x v="208"/>
    <x v="56"/>
    <x v="384"/>
    <x v="34"/>
    <x v="303"/>
    <x v="0"/>
    <x v="0"/>
  </r>
  <r>
    <x v="33"/>
    <x v="0"/>
    <x v="0"/>
    <x v="3"/>
    <x v="33"/>
    <x v="33"/>
    <x v="12"/>
    <x v="12"/>
    <x v="12"/>
    <x v="12"/>
    <x v="8"/>
    <x v="111"/>
    <x v="214"/>
    <x v="115"/>
    <x v="100"/>
    <x v="65"/>
    <x v="61"/>
    <x v="0"/>
    <x v="0"/>
  </r>
  <r>
    <x v="33"/>
    <x v="0"/>
    <x v="0"/>
    <x v="3"/>
    <x v="33"/>
    <x v="33"/>
    <x v="68"/>
    <x v="68"/>
    <x v="68"/>
    <x v="68"/>
    <x v="9"/>
    <x v="208"/>
    <x v="158"/>
    <x v="50"/>
    <x v="92"/>
    <x v="71"/>
    <x v="304"/>
    <x v="0"/>
    <x v="0"/>
  </r>
  <r>
    <x v="33"/>
    <x v="0"/>
    <x v="0"/>
    <x v="3"/>
    <x v="33"/>
    <x v="33"/>
    <x v="11"/>
    <x v="11"/>
    <x v="11"/>
    <x v="11"/>
    <x v="10"/>
    <x v="113"/>
    <x v="202"/>
    <x v="120"/>
    <x v="192"/>
    <x v="85"/>
    <x v="273"/>
    <x v="0"/>
    <x v="0"/>
  </r>
  <r>
    <x v="33"/>
    <x v="0"/>
    <x v="0"/>
    <x v="3"/>
    <x v="33"/>
    <x v="33"/>
    <x v="29"/>
    <x v="29"/>
    <x v="29"/>
    <x v="29"/>
    <x v="10"/>
    <x v="113"/>
    <x v="202"/>
    <x v="57"/>
    <x v="332"/>
    <x v="74"/>
    <x v="296"/>
    <x v="0"/>
    <x v="0"/>
  </r>
  <r>
    <x v="33"/>
    <x v="0"/>
    <x v="0"/>
    <x v="3"/>
    <x v="33"/>
    <x v="33"/>
    <x v="69"/>
    <x v="69"/>
    <x v="69"/>
    <x v="69"/>
    <x v="12"/>
    <x v="200"/>
    <x v="132"/>
    <x v="94"/>
    <x v="15"/>
    <x v="83"/>
    <x v="18"/>
    <x v="0"/>
    <x v="0"/>
  </r>
  <r>
    <x v="33"/>
    <x v="0"/>
    <x v="0"/>
    <x v="3"/>
    <x v="33"/>
    <x v="33"/>
    <x v="7"/>
    <x v="7"/>
    <x v="7"/>
    <x v="7"/>
    <x v="12"/>
    <x v="200"/>
    <x v="132"/>
    <x v="146"/>
    <x v="400"/>
    <x v="55"/>
    <x v="239"/>
    <x v="0"/>
    <x v="0"/>
  </r>
  <r>
    <x v="33"/>
    <x v="0"/>
    <x v="0"/>
    <x v="3"/>
    <x v="33"/>
    <x v="33"/>
    <x v="5"/>
    <x v="5"/>
    <x v="5"/>
    <x v="5"/>
    <x v="12"/>
    <x v="200"/>
    <x v="132"/>
    <x v="146"/>
    <x v="400"/>
    <x v="55"/>
    <x v="239"/>
    <x v="0"/>
    <x v="0"/>
  </r>
  <r>
    <x v="33"/>
    <x v="0"/>
    <x v="0"/>
    <x v="3"/>
    <x v="33"/>
    <x v="33"/>
    <x v="70"/>
    <x v="70"/>
    <x v="70"/>
    <x v="70"/>
    <x v="15"/>
    <x v="201"/>
    <x v="97"/>
    <x v="118"/>
    <x v="401"/>
    <x v="67"/>
    <x v="302"/>
    <x v="0"/>
    <x v="0"/>
  </r>
  <r>
    <x v="33"/>
    <x v="0"/>
    <x v="0"/>
    <x v="3"/>
    <x v="33"/>
    <x v="33"/>
    <x v="16"/>
    <x v="16"/>
    <x v="16"/>
    <x v="16"/>
    <x v="15"/>
    <x v="201"/>
    <x v="97"/>
    <x v="57"/>
    <x v="332"/>
    <x v="55"/>
    <x v="239"/>
    <x v="0"/>
    <x v="0"/>
  </r>
  <r>
    <x v="33"/>
    <x v="0"/>
    <x v="0"/>
    <x v="3"/>
    <x v="33"/>
    <x v="33"/>
    <x v="17"/>
    <x v="17"/>
    <x v="17"/>
    <x v="17"/>
    <x v="17"/>
    <x v="203"/>
    <x v="151"/>
    <x v="107"/>
    <x v="148"/>
    <x v="50"/>
    <x v="305"/>
    <x v="0"/>
    <x v="0"/>
  </r>
  <r>
    <x v="33"/>
    <x v="0"/>
    <x v="0"/>
    <x v="3"/>
    <x v="33"/>
    <x v="33"/>
    <x v="19"/>
    <x v="19"/>
    <x v="19"/>
    <x v="19"/>
    <x v="17"/>
    <x v="203"/>
    <x v="151"/>
    <x v="108"/>
    <x v="393"/>
    <x v="60"/>
    <x v="119"/>
    <x v="0"/>
    <x v="0"/>
  </r>
  <r>
    <x v="33"/>
    <x v="0"/>
    <x v="0"/>
    <x v="3"/>
    <x v="33"/>
    <x v="33"/>
    <x v="34"/>
    <x v="34"/>
    <x v="34"/>
    <x v="34"/>
    <x v="17"/>
    <x v="203"/>
    <x v="151"/>
    <x v="108"/>
    <x v="393"/>
    <x v="60"/>
    <x v="119"/>
    <x v="0"/>
    <x v="0"/>
  </r>
  <r>
    <x v="34"/>
    <x v="0"/>
    <x v="0"/>
    <x v="3"/>
    <x v="34"/>
    <x v="34"/>
    <x v="0"/>
    <x v="0"/>
    <x v="0"/>
    <x v="0"/>
    <x v="0"/>
    <x v="104"/>
    <x v="276"/>
    <x v="212"/>
    <x v="402"/>
    <x v="61"/>
    <x v="62"/>
    <x v="0"/>
    <x v="0"/>
  </r>
  <r>
    <x v="34"/>
    <x v="0"/>
    <x v="0"/>
    <x v="3"/>
    <x v="34"/>
    <x v="34"/>
    <x v="10"/>
    <x v="10"/>
    <x v="10"/>
    <x v="10"/>
    <x v="1"/>
    <x v="100"/>
    <x v="277"/>
    <x v="89"/>
    <x v="239"/>
    <x v="80"/>
    <x v="306"/>
    <x v="0"/>
    <x v="0"/>
  </r>
  <r>
    <x v="34"/>
    <x v="0"/>
    <x v="0"/>
    <x v="3"/>
    <x v="34"/>
    <x v="34"/>
    <x v="1"/>
    <x v="1"/>
    <x v="1"/>
    <x v="1"/>
    <x v="2"/>
    <x v="108"/>
    <x v="278"/>
    <x v="71"/>
    <x v="370"/>
    <x v="74"/>
    <x v="96"/>
    <x v="0"/>
    <x v="0"/>
  </r>
  <r>
    <x v="34"/>
    <x v="0"/>
    <x v="0"/>
    <x v="3"/>
    <x v="34"/>
    <x v="34"/>
    <x v="13"/>
    <x v="13"/>
    <x v="13"/>
    <x v="13"/>
    <x v="3"/>
    <x v="114"/>
    <x v="139"/>
    <x v="90"/>
    <x v="151"/>
    <x v="44"/>
    <x v="307"/>
    <x v="0"/>
    <x v="0"/>
  </r>
  <r>
    <x v="34"/>
    <x v="0"/>
    <x v="0"/>
    <x v="3"/>
    <x v="34"/>
    <x v="34"/>
    <x v="6"/>
    <x v="6"/>
    <x v="6"/>
    <x v="6"/>
    <x v="4"/>
    <x v="201"/>
    <x v="249"/>
    <x v="146"/>
    <x v="399"/>
    <x v="61"/>
    <x v="62"/>
    <x v="0"/>
    <x v="0"/>
  </r>
  <r>
    <x v="34"/>
    <x v="0"/>
    <x v="0"/>
    <x v="3"/>
    <x v="34"/>
    <x v="34"/>
    <x v="5"/>
    <x v="5"/>
    <x v="5"/>
    <x v="5"/>
    <x v="5"/>
    <x v="230"/>
    <x v="5"/>
    <x v="76"/>
    <x v="403"/>
    <x v="65"/>
    <x v="232"/>
    <x v="0"/>
    <x v="0"/>
  </r>
  <r>
    <x v="34"/>
    <x v="0"/>
    <x v="0"/>
    <x v="3"/>
    <x v="34"/>
    <x v="34"/>
    <x v="4"/>
    <x v="4"/>
    <x v="4"/>
    <x v="4"/>
    <x v="6"/>
    <x v="204"/>
    <x v="25"/>
    <x v="90"/>
    <x v="151"/>
    <x v="85"/>
    <x v="202"/>
    <x v="0"/>
    <x v="0"/>
  </r>
  <r>
    <x v="34"/>
    <x v="0"/>
    <x v="0"/>
    <x v="3"/>
    <x v="34"/>
    <x v="34"/>
    <x v="2"/>
    <x v="2"/>
    <x v="2"/>
    <x v="2"/>
    <x v="7"/>
    <x v="205"/>
    <x v="222"/>
    <x v="132"/>
    <x v="404"/>
    <x v="56"/>
    <x v="269"/>
    <x v="5"/>
    <x v="13"/>
  </r>
  <r>
    <x v="34"/>
    <x v="0"/>
    <x v="0"/>
    <x v="3"/>
    <x v="34"/>
    <x v="34"/>
    <x v="11"/>
    <x v="11"/>
    <x v="11"/>
    <x v="11"/>
    <x v="8"/>
    <x v="228"/>
    <x v="214"/>
    <x v="151"/>
    <x v="30"/>
    <x v="60"/>
    <x v="88"/>
    <x v="0"/>
    <x v="0"/>
  </r>
  <r>
    <x v="34"/>
    <x v="0"/>
    <x v="0"/>
    <x v="3"/>
    <x v="34"/>
    <x v="34"/>
    <x v="3"/>
    <x v="3"/>
    <x v="3"/>
    <x v="3"/>
    <x v="8"/>
    <x v="228"/>
    <x v="214"/>
    <x v="132"/>
    <x v="404"/>
    <x v="61"/>
    <x v="62"/>
    <x v="0"/>
    <x v="0"/>
  </r>
  <r>
    <x v="34"/>
    <x v="0"/>
    <x v="0"/>
    <x v="3"/>
    <x v="34"/>
    <x v="34"/>
    <x v="19"/>
    <x v="19"/>
    <x v="19"/>
    <x v="19"/>
    <x v="10"/>
    <x v="213"/>
    <x v="81"/>
    <x v="118"/>
    <x v="405"/>
    <x v="75"/>
    <x v="308"/>
    <x v="0"/>
    <x v="0"/>
  </r>
  <r>
    <x v="34"/>
    <x v="0"/>
    <x v="0"/>
    <x v="3"/>
    <x v="34"/>
    <x v="34"/>
    <x v="25"/>
    <x v="25"/>
    <x v="25"/>
    <x v="25"/>
    <x v="10"/>
    <x v="213"/>
    <x v="81"/>
    <x v="90"/>
    <x v="151"/>
    <x v="61"/>
    <x v="62"/>
    <x v="0"/>
    <x v="0"/>
  </r>
  <r>
    <x v="34"/>
    <x v="0"/>
    <x v="0"/>
    <x v="3"/>
    <x v="34"/>
    <x v="34"/>
    <x v="26"/>
    <x v="26"/>
    <x v="26"/>
    <x v="26"/>
    <x v="10"/>
    <x v="213"/>
    <x v="81"/>
    <x v="118"/>
    <x v="405"/>
    <x v="75"/>
    <x v="308"/>
    <x v="0"/>
    <x v="0"/>
  </r>
  <r>
    <x v="34"/>
    <x v="0"/>
    <x v="0"/>
    <x v="3"/>
    <x v="34"/>
    <x v="34"/>
    <x v="12"/>
    <x v="12"/>
    <x v="12"/>
    <x v="12"/>
    <x v="13"/>
    <x v="214"/>
    <x v="30"/>
    <x v="89"/>
    <x v="239"/>
    <x v="74"/>
    <x v="96"/>
    <x v="0"/>
    <x v="0"/>
  </r>
  <r>
    <x v="34"/>
    <x v="0"/>
    <x v="0"/>
    <x v="3"/>
    <x v="34"/>
    <x v="34"/>
    <x v="18"/>
    <x v="18"/>
    <x v="18"/>
    <x v="18"/>
    <x v="13"/>
    <x v="214"/>
    <x v="30"/>
    <x v="74"/>
    <x v="54"/>
    <x v="60"/>
    <x v="88"/>
    <x v="0"/>
    <x v="0"/>
  </r>
  <r>
    <x v="34"/>
    <x v="0"/>
    <x v="0"/>
    <x v="3"/>
    <x v="34"/>
    <x v="34"/>
    <x v="14"/>
    <x v="14"/>
    <x v="14"/>
    <x v="14"/>
    <x v="13"/>
    <x v="214"/>
    <x v="30"/>
    <x v="89"/>
    <x v="239"/>
    <x v="74"/>
    <x v="96"/>
    <x v="0"/>
    <x v="0"/>
  </r>
  <r>
    <x v="34"/>
    <x v="0"/>
    <x v="0"/>
    <x v="3"/>
    <x v="34"/>
    <x v="34"/>
    <x v="71"/>
    <x v="71"/>
    <x v="71"/>
    <x v="71"/>
    <x v="16"/>
    <x v="234"/>
    <x v="13"/>
    <x v="91"/>
    <x v="406"/>
    <x v="74"/>
    <x v="96"/>
    <x v="0"/>
    <x v="0"/>
  </r>
  <r>
    <x v="34"/>
    <x v="0"/>
    <x v="0"/>
    <x v="3"/>
    <x v="34"/>
    <x v="34"/>
    <x v="23"/>
    <x v="23"/>
    <x v="23"/>
    <x v="23"/>
    <x v="16"/>
    <x v="234"/>
    <x v="13"/>
    <x v="56"/>
    <x v="11"/>
    <x v="55"/>
    <x v="267"/>
    <x v="5"/>
    <x v="13"/>
  </r>
  <r>
    <x v="34"/>
    <x v="0"/>
    <x v="0"/>
    <x v="3"/>
    <x v="34"/>
    <x v="34"/>
    <x v="16"/>
    <x v="16"/>
    <x v="16"/>
    <x v="16"/>
    <x v="16"/>
    <x v="234"/>
    <x v="13"/>
    <x v="89"/>
    <x v="239"/>
    <x v="56"/>
    <x v="269"/>
    <x v="0"/>
    <x v="0"/>
  </r>
  <r>
    <x v="34"/>
    <x v="0"/>
    <x v="0"/>
    <x v="3"/>
    <x v="34"/>
    <x v="34"/>
    <x v="17"/>
    <x v="17"/>
    <x v="17"/>
    <x v="17"/>
    <x v="19"/>
    <x v="235"/>
    <x v="143"/>
    <x v="195"/>
    <x v="407"/>
    <x v="85"/>
    <x v="202"/>
    <x v="0"/>
    <x v="0"/>
  </r>
  <r>
    <x v="34"/>
    <x v="0"/>
    <x v="0"/>
    <x v="3"/>
    <x v="34"/>
    <x v="34"/>
    <x v="42"/>
    <x v="42"/>
    <x v="42"/>
    <x v="42"/>
    <x v="19"/>
    <x v="235"/>
    <x v="143"/>
    <x v="74"/>
    <x v="54"/>
    <x v="74"/>
    <x v="96"/>
    <x v="0"/>
    <x v="0"/>
  </r>
  <r>
    <x v="34"/>
    <x v="0"/>
    <x v="0"/>
    <x v="3"/>
    <x v="34"/>
    <x v="34"/>
    <x v="7"/>
    <x v="7"/>
    <x v="7"/>
    <x v="7"/>
    <x v="19"/>
    <x v="235"/>
    <x v="143"/>
    <x v="56"/>
    <x v="11"/>
    <x v="55"/>
    <x v="267"/>
    <x v="0"/>
    <x v="0"/>
  </r>
  <r>
    <x v="35"/>
    <x v="0"/>
    <x v="0"/>
    <x v="3"/>
    <x v="35"/>
    <x v="35"/>
    <x v="72"/>
    <x v="72"/>
    <x v="72"/>
    <x v="72"/>
    <x v="0"/>
    <x v="49"/>
    <x v="211"/>
    <x v="205"/>
    <x v="408"/>
    <x v="60"/>
    <x v="197"/>
    <x v="0"/>
    <x v="0"/>
  </r>
  <r>
    <x v="35"/>
    <x v="0"/>
    <x v="0"/>
    <x v="3"/>
    <x v="35"/>
    <x v="35"/>
    <x v="2"/>
    <x v="2"/>
    <x v="2"/>
    <x v="2"/>
    <x v="1"/>
    <x v="54"/>
    <x v="268"/>
    <x v="58"/>
    <x v="270"/>
    <x v="74"/>
    <x v="286"/>
    <x v="0"/>
    <x v="0"/>
  </r>
  <r>
    <x v="35"/>
    <x v="0"/>
    <x v="0"/>
    <x v="3"/>
    <x v="35"/>
    <x v="35"/>
    <x v="10"/>
    <x v="10"/>
    <x v="10"/>
    <x v="10"/>
    <x v="2"/>
    <x v="106"/>
    <x v="279"/>
    <x v="74"/>
    <x v="124"/>
    <x v="77"/>
    <x v="309"/>
    <x v="0"/>
    <x v="0"/>
  </r>
  <r>
    <x v="35"/>
    <x v="0"/>
    <x v="0"/>
    <x v="3"/>
    <x v="35"/>
    <x v="35"/>
    <x v="0"/>
    <x v="0"/>
    <x v="0"/>
    <x v="0"/>
    <x v="3"/>
    <x v="55"/>
    <x v="280"/>
    <x v="58"/>
    <x v="270"/>
    <x v="65"/>
    <x v="80"/>
    <x v="0"/>
    <x v="0"/>
  </r>
  <r>
    <x v="35"/>
    <x v="0"/>
    <x v="0"/>
    <x v="3"/>
    <x v="35"/>
    <x v="35"/>
    <x v="6"/>
    <x v="6"/>
    <x v="6"/>
    <x v="6"/>
    <x v="4"/>
    <x v="100"/>
    <x v="248"/>
    <x v="110"/>
    <x v="113"/>
    <x v="55"/>
    <x v="283"/>
    <x v="0"/>
    <x v="0"/>
  </r>
  <r>
    <x v="35"/>
    <x v="0"/>
    <x v="0"/>
    <x v="3"/>
    <x v="35"/>
    <x v="35"/>
    <x v="4"/>
    <x v="4"/>
    <x v="4"/>
    <x v="4"/>
    <x v="5"/>
    <x v="74"/>
    <x v="281"/>
    <x v="113"/>
    <x v="207"/>
    <x v="79"/>
    <x v="85"/>
    <x v="0"/>
    <x v="0"/>
  </r>
  <r>
    <x v="35"/>
    <x v="0"/>
    <x v="0"/>
    <x v="3"/>
    <x v="35"/>
    <x v="35"/>
    <x v="12"/>
    <x v="12"/>
    <x v="12"/>
    <x v="12"/>
    <x v="6"/>
    <x v="107"/>
    <x v="282"/>
    <x v="145"/>
    <x v="409"/>
    <x v="65"/>
    <x v="80"/>
    <x v="0"/>
    <x v="0"/>
  </r>
  <r>
    <x v="35"/>
    <x v="0"/>
    <x v="0"/>
    <x v="3"/>
    <x v="35"/>
    <x v="35"/>
    <x v="73"/>
    <x v="73"/>
    <x v="73"/>
    <x v="73"/>
    <x v="7"/>
    <x v="200"/>
    <x v="209"/>
    <x v="132"/>
    <x v="52"/>
    <x v="79"/>
    <x v="85"/>
    <x v="0"/>
    <x v="0"/>
  </r>
  <r>
    <x v="35"/>
    <x v="0"/>
    <x v="0"/>
    <x v="3"/>
    <x v="35"/>
    <x v="35"/>
    <x v="29"/>
    <x v="29"/>
    <x v="29"/>
    <x v="29"/>
    <x v="8"/>
    <x v="202"/>
    <x v="28"/>
    <x v="117"/>
    <x v="410"/>
    <x v="65"/>
    <x v="80"/>
    <x v="0"/>
    <x v="0"/>
  </r>
  <r>
    <x v="35"/>
    <x v="0"/>
    <x v="0"/>
    <x v="3"/>
    <x v="35"/>
    <x v="35"/>
    <x v="13"/>
    <x v="13"/>
    <x v="13"/>
    <x v="13"/>
    <x v="8"/>
    <x v="202"/>
    <x v="28"/>
    <x v="108"/>
    <x v="411"/>
    <x v="85"/>
    <x v="310"/>
    <x v="0"/>
    <x v="0"/>
  </r>
  <r>
    <x v="35"/>
    <x v="0"/>
    <x v="0"/>
    <x v="3"/>
    <x v="35"/>
    <x v="35"/>
    <x v="1"/>
    <x v="1"/>
    <x v="1"/>
    <x v="1"/>
    <x v="8"/>
    <x v="202"/>
    <x v="28"/>
    <x v="93"/>
    <x v="313"/>
    <x v="72"/>
    <x v="311"/>
    <x v="0"/>
    <x v="0"/>
  </r>
  <r>
    <x v="35"/>
    <x v="0"/>
    <x v="0"/>
    <x v="3"/>
    <x v="35"/>
    <x v="35"/>
    <x v="5"/>
    <x v="5"/>
    <x v="5"/>
    <x v="5"/>
    <x v="11"/>
    <x v="203"/>
    <x v="80"/>
    <x v="117"/>
    <x v="410"/>
    <x v="55"/>
    <x v="283"/>
    <x v="0"/>
    <x v="0"/>
  </r>
  <r>
    <x v="35"/>
    <x v="0"/>
    <x v="0"/>
    <x v="3"/>
    <x v="35"/>
    <x v="35"/>
    <x v="9"/>
    <x v="9"/>
    <x v="9"/>
    <x v="9"/>
    <x v="12"/>
    <x v="230"/>
    <x v="283"/>
    <x v="94"/>
    <x v="224"/>
    <x v="74"/>
    <x v="286"/>
    <x v="0"/>
    <x v="0"/>
  </r>
  <r>
    <x v="35"/>
    <x v="0"/>
    <x v="0"/>
    <x v="3"/>
    <x v="35"/>
    <x v="35"/>
    <x v="44"/>
    <x v="44"/>
    <x v="44"/>
    <x v="44"/>
    <x v="13"/>
    <x v="204"/>
    <x v="81"/>
    <x v="108"/>
    <x v="411"/>
    <x v="74"/>
    <x v="286"/>
    <x v="0"/>
    <x v="0"/>
  </r>
  <r>
    <x v="35"/>
    <x v="0"/>
    <x v="0"/>
    <x v="3"/>
    <x v="35"/>
    <x v="35"/>
    <x v="21"/>
    <x v="21"/>
    <x v="21"/>
    <x v="21"/>
    <x v="14"/>
    <x v="205"/>
    <x v="123"/>
    <x v="179"/>
    <x v="122"/>
    <x v="55"/>
    <x v="283"/>
    <x v="0"/>
    <x v="0"/>
  </r>
  <r>
    <x v="35"/>
    <x v="0"/>
    <x v="0"/>
    <x v="3"/>
    <x v="35"/>
    <x v="35"/>
    <x v="42"/>
    <x v="42"/>
    <x v="42"/>
    <x v="42"/>
    <x v="15"/>
    <x v="226"/>
    <x v="97"/>
    <x v="132"/>
    <x v="52"/>
    <x v="56"/>
    <x v="115"/>
    <x v="0"/>
    <x v="0"/>
  </r>
  <r>
    <x v="35"/>
    <x v="0"/>
    <x v="0"/>
    <x v="3"/>
    <x v="35"/>
    <x v="35"/>
    <x v="74"/>
    <x v="74"/>
    <x v="74"/>
    <x v="74"/>
    <x v="15"/>
    <x v="226"/>
    <x v="97"/>
    <x v="108"/>
    <x v="411"/>
    <x v="65"/>
    <x v="80"/>
    <x v="0"/>
    <x v="0"/>
  </r>
  <r>
    <x v="35"/>
    <x v="0"/>
    <x v="0"/>
    <x v="3"/>
    <x v="35"/>
    <x v="35"/>
    <x v="14"/>
    <x v="14"/>
    <x v="14"/>
    <x v="14"/>
    <x v="15"/>
    <x v="226"/>
    <x v="97"/>
    <x v="132"/>
    <x v="52"/>
    <x v="56"/>
    <x v="115"/>
    <x v="0"/>
    <x v="0"/>
  </r>
  <r>
    <x v="35"/>
    <x v="0"/>
    <x v="0"/>
    <x v="3"/>
    <x v="35"/>
    <x v="35"/>
    <x v="59"/>
    <x v="59"/>
    <x v="59"/>
    <x v="59"/>
    <x v="18"/>
    <x v="211"/>
    <x v="52"/>
    <x v="94"/>
    <x v="224"/>
    <x v="61"/>
    <x v="62"/>
    <x v="0"/>
    <x v="0"/>
  </r>
  <r>
    <x v="35"/>
    <x v="0"/>
    <x v="0"/>
    <x v="3"/>
    <x v="35"/>
    <x v="35"/>
    <x v="7"/>
    <x v="7"/>
    <x v="7"/>
    <x v="7"/>
    <x v="18"/>
    <x v="211"/>
    <x v="52"/>
    <x v="132"/>
    <x v="52"/>
    <x v="65"/>
    <x v="80"/>
    <x v="0"/>
    <x v="0"/>
  </r>
  <r>
    <x v="36"/>
    <x v="0"/>
    <x v="0"/>
    <x v="3"/>
    <x v="36"/>
    <x v="36"/>
    <x v="69"/>
    <x v="69"/>
    <x v="69"/>
    <x v="69"/>
    <x v="0"/>
    <x v="236"/>
    <x v="284"/>
    <x v="213"/>
    <x v="412"/>
    <x v="77"/>
    <x v="312"/>
    <x v="0"/>
    <x v="26"/>
  </r>
  <r>
    <x v="36"/>
    <x v="0"/>
    <x v="0"/>
    <x v="3"/>
    <x v="36"/>
    <x v="36"/>
    <x v="10"/>
    <x v="10"/>
    <x v="10"/>
    <x v="10"/>
    <x v="1"/>
    <x v="94"/>
    <x v="73"/>
    <x v="146"/>
    <x v="410"/>
    <x v="110"/>
    <x v="313"/>
    <x v="0"/>
    <x v="26"/>
  </r>
  <r>
    <x v="36"/>
    <x v="0"/>
    <x v="0"/>
    <x v="3"/>
    <x v="36"/>
    <x v="36"/>
    <x v="0"/>
    <x v="0"/>
    <x v="0"/>
    <x v="0"/>
    <x v="2"/>
    <x v="119"/>
    <x v="100"/>
    <x v="103"/>
    <x v="129"/>
    <x v="65"/>
    <x v="314"/>
    <x v="0"/>
    <x v="26"/>
  </r>
  <r>
    <x v="36"/>
    <x v="0"/>
    <x v="0"/>
    <x v="3"/>
    <x v="36"/>
    <x v="36"/>
    <x v="42"/>
    <x v="42"/>
    <x v="42"/>
    <x v="42"/>
    <x v="3"/>
    <x v="98"/>
    <x v="285"/>
    <x v="71"/>
    <x v="413"/>
    <x v="71"/>
    <x v="315"/>
    <x v="0"/>
    <x v="26"/>
  </r>
  <r>
    <x v="36"/>
    <x v="0"/>
    <x v="0"/>
    <x v="3"/>
    <x v="36"/>
    <x v="36"/>
    <x v="6"/>
    <x v="6"/>
    <x v="6"/>
    <x v="6"/>
    <x v="4"/>
    <x v="100"/>
    <x v="4"/>
    <x v="51"/>
    <x v="414"/>
    <x v="61"/>
    <x v="62"/>
    <x v="0"/>
    <x v="26"/>
  </r>
  <r>
    <x v="36"/>
    <x v="0"/>
    <x v="0"/>
    <x v="3"/>
    <x v="36"/>
    <x v="36"/>
    <x v="5"/>
    <x v="5"/>
    <x v="5"/>
    <x v="5"/>
    <x v="5"/>
    <x v="107"/>
    <x v="286"/>
    <x v="134"/>
    <x v="415"/>
    <x v="55"/>
    <x v="91"/>
    <x v="0"/>
    <x v="26"/>
  </r>
  <r>
    <x v="36"/>
    <x v="0"/>
    <x v="0"/>
    <x v="3"/>
    <x v="36"/>
    <x v="36"/>
    <x v="19"/>
    <x v="19"/>
    <x v="19"/>
    <x v="19"/>
    <x v="6"/>
    <x v="110"/>
    <x v="187"/>
    <x v="73"/>
    <x v="248"/>
    <x v="75"/>
    <x v="316"/>
    <x v="0"/>
    <x v="26"/>
  </r>
  <r>
    <x v="36"/>
    <x v="0"/>
    <x v="0"/>
    <x v="3"/>
    <x v="36"/>
    <x v="36"/>
    <x v="2"/>
    <x v="2"/>
    <x v="2"/>
    <x v="2"/>
    <x v="7"/>
    <x v="114"/>
    <x v="223"/>
    <x v="75"/>
    <x v="295"/>
    <x v="61"/>
    <x v="62"/>
    <x v="0"/>
    <x v="26"/>
  </r>
  <r>
    <x v="36"/>
    <x v="0"/>
    <x v="0"/>
    <x v="3"/>
    <x v="36"/>
    <x v="36"/>
    <x v="4"/>
    <x v="4"/>
    <x v="4"/>
    <x v="4"/>
    <x v="8"/>
    <x v="201"/>
    <x v="232"/>
    <x v="179"/>
    <x v="337"/>
    <x v="60"/>
    <x v="317"/>
    <x v="0"/>
    <x v="26"/>
  </r>
  <r>
    <x v="36"/>
    <x v="0"/>
    <x v="0"/>
    <x v="3"/>
    <x v="36"/>
    <x v="36"/>
    <x v="1"/>
    <x v="1"/>
    <x v="1"/>
    <x v="1"/>
    <x v="8"/>
    <x v="201"/>
    <x v="232"/>
    <x v="73"/>
    <x v="248"/>
    <x v="65"/>
    <x v="314"/>
    <x v="0"/>
    <x v="26"/>
  </r>
  <r>
    <x v="36"/>
    <x v="0"/>
    <x v="0"/>
    <x v="3"/>
    <x v="36"/>
    <x v="36"/>
    <x v="64"/>
    <x v="64"/>
    <x v="64"/>
    <x v="64"/>
    <x v="10"/>
    <x v="202"/>
    <x v="224"/>
    <x v="120"/>
    <x v="106"/>
    <x v="56"/>
    <x v="187"/>
    <x v="0"/>
    <x v="26"/>
  </r>
  <r>
    <x v="36"/>
    <x v="0"/>
    <x v="0"/>
    <x v="3"/>
    <x v="36"/>
    <x v="36"/>
    <x v="13"/>
    <x v="13"/>
    <x v="13"/>
    <x v="13"/>
    <x v="11"/>
    <x v="203"/>
    <x v="132"/>
    <x v="50"/>
    <x v="313"/>
    <x v="83"/>
    <x v="155"/>
    <x v="0"/>
    <x v="26"/>
  </r>
  <r>
    <x v="36"/>
    <x v="0"/>
    <x v="0"/>
    <x v="3"/>
    <x v="36"/>
    <x v="36"/>
    <x v="17"/>
    <x v="17"/>
    <x v="17"/>
    <x v="17"/>
    <x v="12"/>
    <x v="230"/>
    <x v="50"/>
    <x v="151"/>
    <x v="416"/>
    <x v="50"/>
    <x v="141"/>
    <x v="0"/>
    <x v="26"/>
  </r>
  <r>
    <x v="36"/>
    <x v="0"/>
    <x v="0"/>
    <x v="3"/>
    <x v="36"/>
    <x v="36"/>
    <x v="59"/>
    <x v="59"/>
    <x v="59"/>
    <x v="59"/>
    <x v="13"/>
    <x v="204"/>
    <x v="12"/>
    <x v="179"/>
    <x v="337"/>
    <x v="65"/>
    <x v="314"/>
    <x v="0"/>
    <x v="26"/>
  </r>
  <r>
    <x v="36"/>
    <x v="0"/>
    <x v="0"/>
    <x v="3"/>
    <x v="36"/>
    <x v="36"/>
    <x v="9"/>
    <x v="9"/>
    <x v="9"/>
    <x v="9"/>
    <x v="14"/>
    <x v="205"/>
    <x v="124"/>
    <x v="179"/>
    <x v="337"/>
    <x v="55"/>
    <x v="91"/>
    <x v="0"/>
    <x v="26"/>
  </r>
  <r>
    <x v="36"/>
    <x v="0"/>
    <x v="0"/>
    <x v="3"/>
    <x v="36"/>
    <x v="36"/>
    <x v="12"/>
    <x v="12"/>
    <x v="12"/>
    <x v="12"/>
    <x v="15"/>
    <x v="211"/>
    <x v="244"/>
    <x v="132"/>
    <x v="417"/>
    <x v="65"/>
    <x v="314"/>
    <x v="0"/>
    <x v="26"/>
  </r>
  <r>
    <x v="36"/>
    <x v="0"/>
    <x v="0"/>
    <x v="3"/>
    <x v="36"/>
    <x v="36"/>
    <x v="18"/>
    <x v="18"/>
    <x v="18"/>
    <x v="18"/>
    <x v="16"/>
    <x v="227"/>
    <x v="14"/>
    <x v="56"/>
    <x v="36"/>
    <x v="83"/>
    <x v="155"/>
    <x v="0"/>
    <x v="26"/>
  </r>
  <r>
    <x v="36"/>
    <x v="0"/>
    <x v="0"/>
    <x v="3"/>
    <x v="36"/>
    <x v="36"/>
    <x v="47"/>
    <x v="47"/>
    <x v="47"/>
    <x v="47"/>
    <x v="17"/>
    <x v="228"/>
    <x v="82"/>
    <x v="54"/>
    <x v="401"/>
    <x v="50"/>
    <x v="141"/>
    <x v="0"/>
    <x v="26"/>
  </r>
  <r>
    <x v="36"/>
    <x v="0"/>
    <x v="0"/>
    <x v="3"/>
    <x v="36"/>
    <x v="36"/>
    <x v="11"/>
    <x v="11"/>
    <x v="11"/>
    <x v="11"/>
    <x v="18"/>
    <x v="212"/>
    <x v="261"/>
    <x v="56"/>
    <x v="36"/>
    <x v="60"/>
    <x v="317"/>
    <x v="0"/>
    <x v="26"/>
  </r>
  <r>
    <x v="36"/>
    <x v="0"/>
    <x v="0"/>
    <x v="3"/>
    <x v="36"/>
    <x v="36"/>
    <x v="35"/>
    <x v="35"/>
    <x v="35"/>
    <x v="35"/>
    <x v="19"/>
    <x v="213"/>
    <x v="287"/>
    <x v="54"/>
    <x v="401"/>
    <x v="79"/>
    <x v="318"/>
    <x v="0"/>
    <x v="26"/>
  </r>
  <r>
    <x v="36"/>
    <x v="0"/>
    <x v="0"/>
    <x v="3"/>
    <x v="36"/>
    <x v="36"/>
    <x v="29"/>
    <x v="29"/>
    <x v="29"/>
    <x v="29"/>
    <x v="19"/>
    <x v="213"/>
    <x v="287"/>
    <x v="93"/>
    <x v="104"/>
    <x v="55"/>
    <x v="91"/>
    <x v="0"/>
    <x v="26"/>
  </r>
  <r>
    <x v="37"/>
    <x v="0"/>
    <x v="0"/>
    <x v="3"/>
    <x v="37"/>
    <x v="37"/>
    <x v="0"/>
    <x v="0"/>
    <x v="0"/>
    <x v="0"/>
    <x v="0"/>
    <x v="199"/>
    <x v="288"/>
    <x v="134"/>
    <x v="418"/>
    <x v="65"/>
    <x v="2"/>
    <x v="0"/>
    <x v="0"/>
  </r>
  <r>
    <x v="37"/>
    <x v="0"/>
    <x v="0"/>
    <x v="3"/>
    <x v="37"/>
    <x v="37"/>
    <x v="10"/>
    <x v="10"/>
    <x v="10"/>
    <x v="10"/>
    <x v="1"/>
    <x v="112"/>
    <x v="228"/>
    <x v="107"/>
    <x v="100"/>
    <x v="64"/>
    <x v="319"/>
    <x v="0"/>
    <x v="0"/>
  </r>
  <r>
    <x v="37"/>
    <x v="0"/>
    <x v="0"/>
    <x v="3"/>
    <x v="37"/>
    <x v="37"/>
    <x v="13"/>
    <x v="13"/>
    <x v="13"/>
    <x v="13"/>
    <x v="2"/>
    <x v="201"/>
    <x v="165"/>
    <x v="114"/>
    <x v="419"/>
    <x v="44"/>
    <x v="320"/>
    <x v="0"/>
    <x v="0"/>
  </r>
  <r>
    <x v="37"/>
    <x v="0"/>
    <x v="0"/>
    <x v="3"/>
    <x v="37"/>
    <x v="37"/>
    <x v="1"/>
    <x v="1"/>
    <x v="1"/>
    <x v="1"/>
    <x v="2"/>
    <x v="201"/>
    <x v="165"/>
    <x v="132"/>
    <x v="25"/>
    <x v="75"/>
    <x v="321"/>
    <x v="0"/>
    <x v="0"/>
  </r>
  <r>
    <x v="37"/>
    <x v="0"/>
    <x v="0"/>
    <x v="3"/>
    <x v="37"/>
    <x v="37"/>
    <x v="2"/>
    <x v="2"/>
    <x v="2"/>
    <x v="2"/>
    <x v="2"/>
    <x v="201"/>
    <x v="165"/>
    <x v="57"/>
    <x v="172"/>
    <x v="55"/>
    <x v="79"/>
    <x v="0"/>
    <x v="0"/>
  </r>
  <r>
    <x v="37"/>
    <x v="0"/>
    <x v="0"/>
    <x v="3"/>
    <x v="37"/>
    <x v="37"/>
    <x v="6"/>
    <x v="6"/>
    <x v="6"/>
    <x v="6"/>
    <x v="5"/>
    <x v="203"/>
    <x v="147"/>
    <x v="117"/>
    <x v="420"/>
    <x v="55"/>
    <x v="79"/>
    <x v="0"/>
    <x v="0"/>
  </r>
  <r>
    <x v="37"/>
    <x v="0"/>
    <x v="0"/>
    <x v="3"/>
    <x v="37"/>
    <x v="37"/>
    <x v="17"/>
    <x v="17"/>
    <x v="17"/>
    <x v="17"/>
    <x v="6"/>
    <x v="211"/>
    <x v="156"/>
    <x v="195"/>
    <x v="421"/>
    <x v="45"/>
    <x v="322"/>
    <x v="0"/>
    <x v="0"/>
  </r>
  <r>
    <x v="37"/>
    <x v="0"/>
    <x v="0"/>
    <x v="3"/>
    <x v="37"/>
    <x v="37"/>
    <x v="42"/>
    <x v="42"/>
    <x v="42"/>
    <x v="42"/>
    <x v="7"/>
    <x v="227"/>
    <x v="229"/>
    <x v="114"/>
    <x v="419"/>
    <x v="59"/>
    <x v="53"/>
    <x v="0"/>
    <x v="0"/>
  </r>
  <r>
    <x v="37"/>
    <x v="0"/>
    <x v="0"/>
    <x v="3"/>
    <x v="37"/>
    <x v="37"/>
    <x v="51"/>
    <x v="51"/>
    <x v="51"/>
    <x v="51"/>
    <x v="7"/>
    <x v="227"/>
    <x v="229"/>
    <x v="54"/>
    <x v="422"/>
    <x v="44"/>
    <x v="320"/>
    <x v="0"/>
    <x v="0"/>
  </r>
  <r>
    <x v="37"/>
    <x v="0"/>
    <x v="0"/>
    <x v="3"/>
    <x v="37"/>
    <x v="37"/>
    <x v="4"/>
    <x v="4"/>
    <x v="4"/>
    <x v="4"/>
    <x v="7"/>
    <x v="227"/>
    <x v="229"/>
    <x v="56"/>
    <x v="423"/>
    <x v="83"/>
    <x v="113"/>
    <x v="0"/>
    <x v="0"/>
  </r>
  <r>
    <x v="37"/>
    <x v="0"/>
    <x v="0"/>
    <x v="3"/>
    <x v="37"/>
    <x v="37"/>
    <x v="8"/>
    <x v="8"/>
    <x v="8"/>
    <x v="8"/>
    <x v="10"/>
    <x v="212"/>
    <x v="9"/>
    <x v="93"/>
    <x v="424"/>
    <x v="65"/>
    <x v="2"/>
    <x v="0"/>
    <x v="0"/>
  </r>
  <r>
    <x v="37"/>
    <x v="0"/>
    <x v="0"/>
    <x v="3"/>
    <x v="37"/>
    <x v="37"/>
    <x v="46"/>
    <x v="46"/>
    <x v="46"/>
    <x v="46"/>
    <x v="11"/>
    <x v="213"/>
    <x v="95"/>
    <x v="151"/>
    <x v="48"/>
    <x v="74"/>
    <x v="121"/>
    <x v="0"/>
    <x v="0"/>
  </r>
  <r>
    <x v="37"/>
    <x v="0"/>
    <x v="0"/>
    <x v="3"/>
    <x v="37"/>
    <x v="37"/>
    <x v="25"/>
    <x v="25"/>
    <x v="25"/>
    <x v="25"/>
    <x v="12"/>
    <x v="229"/>
    <x v="181"/>
    <x v="151"/>
    <x v="48"/>
    <x v="56"/>
    <x v="16"/>
    <x v="0"/>
    <x v="0"/>
  </r>
  <r>
    <x v="37"/>
    <x v="0"/>
    <x v="0"/>
    <x v="3"/>
    <x v="37"/>
    <x v="37"/>
    <x v="41"/>
    <x v="41"/>
    <x v="41"/>
    <x v="41"/>
    <x v="12"/>
    <x v="229"/>
    <x v="181"/>
    <x v="107"/>
    <x v="100"/>
    <x v="65"/>
    <x v="2"/>
    <x v="0"/>
    <x v="0"/>
  </r>
  <r>
    <x v="37"/>
    <x v="0"/>
    <x v="0"/>
    <x v="3"/>
    <x v="37"/>
    <x v="37"/>
    <x v="75"/>
    <x v="75"/>
    <x v="75"/>
    <x v="75"/>
    <x v="14"/>
    <x v="214"/>
    <x v="194"/>
    <x v="118"/>
    <x v="425"/>
    <x v="85"/>
    <x v="19"/>
    <x v="0"/>
    <x v="0"/>
  </r>
  <r>
    <x v="37"/>
    <x v="0"/>
    <x v="0"/>
    <x v="3"/>
    <x v="37"/>
    <x v="37"/>
    <x v="19"/>
    <x v="19"/>
    <x v="19"/>
    <x v="19"/>
    <x v="15"/>
    <x v="234"/>
    <x v="111"/>
    <x v="54"/>
    <x v="422"/>
    <x v="85"/>
    <x v="19"/>
    <x v="0"/>
    <x v="0"/>
  </r>
  <r>
    <x v="37"/>
    <x v="0"/>
    <x v="0"/>
    <x v="3"/>
    <x v="37"/>
    <x v="37"/>
    <x v="7"/>
    <x v="7"/>
    <x v="7"/>
    <x v="7"/>
    <x v="15"/>
    <x v="234"/>
    <x v="111"/>
    <x v="107"/>
    <x v="100"/>
    <x v="61"/>
    <x v="62"/>
    <x v="0"/>
    <x v="0"/>
  </r>
  <r>
    <x v="37"/>
    <x v="0"/>
    <x v="0"/>
    <x v="3"/>
    <x v="37"/>
    <x v="37"/>
    <x v="5"/>
    <x v="5"/>
    <x v="5"/>
    <x v="5"/>
    <x v="17"/>
    <x v="235"/>
    <x v="289"/>
    <x v="91"/>
    <x v="123"/>
    <x v="56"/>
    <x v="16"/>
    <x v="0"/>
    <x v="0"/>
  </r>
  <r>
    <x v="37"/>
    <x v="0"/>
    <x v="0"/>
    <x v="3"/>
    <x v="37"/>
    <x v="37"/>
    <x v="70"/>
    <x v="70"/>
    <x v="70"/>
    <x v="70"/>
    <x v="18"/>
    <x v="215"/>
    <x v="15"/>
    <x v="187"/>
    <x v="90"/>
    <x v="75"/>
    <x v="321"/>
    <x v="0"/>
    <x v="0"/>
  </r>
  <r>
    <x v="37"/>
    <x v="0"/>
    <x v="0"/>
    <x v="3"/>
    <x v="37"/>
    <x v="37"/>
    <x v="3"/>
    <x v="3"/>
    <x v="3"/>
    <x v="3"/>
    <x v="18"/>
    <x v="215"/>
    <x v="15"/>
    <x v="89"/>
    <x v="374"/>
    <x v="55"/>
    <x v="79"/>
    <x v="0"/>
    <x v="0"/>
  </r>
  <r>
    <x v="38"/>
    <x v="0"/>
    <x v="0"/>
    <x v="3"/>
    <x v="38"/>
    <x v="38"/>
    <x v="69"/>
    <x v="69"/>
    <x v="69"/>
    <x v="69"/>
    <x v="0"/>
    <x v="63"/>
    <x v="290"/>
    <x v="82"/>
    <x v="426"/>
    <x v="44"/>
    <x v="25"/>
    <x v="0"/>
    <x v="0"/>
  </r>
  <r>
    <x v="38"/>
    <x v="0"/>
    <x v="0"/>
    <x v="3"/>
    <x v="38"/>
    <x v="38"/>
    <x v="76"/>
    <x v="76"/>
    <x v="76"/>
    <x v="76"/>
    <x v="1"/>
    <x v="83"/>
    <x v="161"/>
    <x v="159"/>
    <x v="427"/>
    <x v="85"/>
    <x v="217"/>
    <x v="0"/>
    <x v="0"/>
  </r>
  <r>
    <x v="38"/>
    <x v="0"/>
    <x v="0"/>
    <x v="3"/>
    <x v="38"/>
    <x v="38"/>
    <x v="0"/>
    <x v="0"/>
    <x v="0"/>
    <x v="0"/>
    <x v="2"/>
    <x v="237"/>
    <x v="18"/>
    <x v="214"/>
    <x v="428"/>
    <x v="85"/>
    <x v="217"/>
    <x v="0"/>
    <x v="0"/>
  </r>
  <r>
    <x v="38"/>
    <x v="0"/>
    <x v="0"/>
    <x v="3"/>
    <x v="38"/>
    <x v="38"/>
    <x v="10"/>
    <x v="10"/>
    <x v="10"/>
    <x v="10"/>
    <x v="3"/>
    <x v="207"/>
    <x v="39"/>
    <x v="73"/>
    <x v="225"/>
    <x v="133"/>
    <x v="323"/>
    <x v="0"/>
    <x v="0"/>
  </r>
  <r>
    <x v="38"/>
    <x v="0"/>
    <x v="0"/>
    <x v="3"/>
    <x v="38"/>
    <x v="38"/>
    <x v="5"/>
    <x v="5"/>
    <x v="5"/>
    <x v="5"/>
    <x v="4"/>
    <x v="120"/>
    <x v="240"/>
    <x v="199"/>
    <x v="429"/>
    <x v="85"/>
    <x v="217"/>
    <x v="0"/>
    <x v="0"/>
  </r>
  <r>
    <x v="38"/>
    <x v="0"/>
    <x v="0"/>
    <x v="3"/>
    <x v="38"/>
    <x v="38"/>
    <x v="4"/>
    <x v="4"/>
    <x v="4"/>
    <x v="4"/>
    <x v="5"/>
    <x v="221"/>
    <x v="205"/>
    <x v="104"/>
    <x v="430"/>
    <x v="85"/>
    <x v="217"/>
    <x v="0"/>
    <x v="0"/>
  </r>
  <r>
    <x v="38"/>
    <x v="0"/>
    <x v="0"/>
    <x v="3"/>
    <x v="38"/>
    <x v="38"/>
    <x v="1"/>
    <x v="1"/>
    <x v="1"/>
    <x v="1"/>
    <x v="6"/>
    <x v="56"/>
    <x v="155"/>
    <x v="51"/>
    <x v="29"/>
    <x v="75"/>
    <x v="119"/>
    <x v="0"/>
    <x v="0"/>
  </r>
  <r>
    <x v="38"/>
    <x v="0"/>
    <x v="0"/>
    <x v="3"/>
    <x v="38"/>
    <x v="38"/>
    <x v="6"/>
    <x v="6"/>
    <x v="6"/>
    <x v="6"/>
    <x v="7"/>
    <x v="70"/>
    <x v="6"/>
    <x v="104"/>
    <x v="430"/>
    <x v="61"/>
    <x v="62"/>
    <x v="0"/>
    <x v="0"/>
  </r>
  <r>
    <x v="38"/>
    <x v="0"/>
    <x v="0"/>
    <x v="3"/>
    <x v="38"/>
    <x v="38"/>
    <x v="2"/>
    <x v="2"/>
    <x v="2"/>
    <x v="2"/>
    <x v="8"/>
    <x v="73"/>
    <x v="106"/>
    <x v="126"/>
    <x v="431"/>
    <x v="74"/>
    <x v="293"/>
    <x v="0"/>
    <x v="0"/>
  </r>
  <r>
    <x v="38"/>
    <x v="0"/>
    <x v="0"/>
    <x v="3"/>
    <x v="38"/>
    <x v="38"/>
    <x v="13"/>
    <x v="13"/>
    <x v="13"/>
    <x v="13"/>
    <x v="9"/>
    <x v="74"/>
    <x v="157"/>
    <x v="53"/>
    <x v="133"/>
    <x v="85"/>
    <x v="217"/>
    <x v="0"/>
    <x v="0"/>
  </r>
  <r>
    <x v="38"/>
    <x v="0"/>
    <x v="0"/>
    <x v="3"/>
    <x v="38"/>
    <x v="38"/>
    <x v="42"/>
    <x v="42"/>
    <x v="42"/>
    <x v="42"/>
    <x v="10"/>
    <x v="108"/>
    <x v="291"/>
    <x v="179"/>
    <x v="137"/>
    <x v="45"/>
    <x v="105"/>
    <x v="0"/>
    <x v="0"/>
  </r>
  <r>
    <x v="38"/>
    <x v="0"/>
    <x v="0"/>
    <x v="3"/>
    <x v="38"/>
    <x v="38"/>
    <x v="12"/>
    <x v="12"/>
    <x v="12"/>
    <x v="12"/>
    <x v="11"/>
    <x v="111"/>
    <x v="10"/>
    <x v="120"/>
    <x v="326"/>
    <x v="83"/>
    <x v="228"/>
    <x v="1"/>
    <x v="27"/>
  </r>
  <r>
    <x v="38"/>
    <x v="0"/>
    <x v="0"/>
    <x v="3"/>
    <x v="38"/>
    <x v="38"/>
    <x v="19"/>
    <x v="19"/>
    <x v="19"/>
    <x v="19"/>
    <x v="12"/>
    <x v="208"/>
    <x v="97"/>
    <x v="94"/>
    <x v="12"/>
    <x v="72"/>
    <x v="237"/>
    <x v="0"/>
    <x v="0"/>
  </r>
  <r>
    <x v="38"/>
    <x v="0"/>
    <x v="0"/>
    <x v="3"/>
    <x v="38"/>
    <x v="38"/>
    <x v="18"/>
    <x v="18"/>
    <x v="18"/>
    <x v="18"/>
    <x v="12"/>
    <x v="208"/>
    <x v="97"/>
    <x v="114"/>
    <x v="416"/>
    <x v="58"/>
    <x v="203"/>
    <x v="0"/>
    <x v="0"/>
  </r>
  <r>
    <x v="38"/>
    <x v="0"/>
    <x v="0"/>
    <x v="3"/>
    <x v="38"/>
    <x v="38"/>
    <x v="17"/>
    <x v="17"/>
    <x v="17"/>
    <x v="17"/>
    <x v="14"/>
    <x v="114"/>
    <x v="110"/>
    <x v="118"/>
    <x v="68"/>
    <x v="62"/>
    <x v="320"/>
    <x v="0"/>
    <x v="0"/>
  </r>
  <r>
    <x v="38"/>
    <x v="0"/>
    <x v="0"/>
    <x v="3"/>
    <x v="38"/>
    <x v="38"/>
    <x v="14"/>
    <x v="14"/>
    <x v="14"/>
    <x v="14"/>
    <x v="15"/>
    <x v="230"/>
    <x v="16"/>
    <x v="151"/>
    <x v="297"/>
    <x v="50"/>
    <x v="18"/>
    <x v="0"/>
    <x v="0"/>
  </r>
  <r>
    <x v="38"/>
    <x v="0"/>
    <x v="0"/>
    <x v="3"/>
    <x v="38"/>
    <x v="38"/>
    <x v="16"/>
    <x v="16"/>
    <x v="16"/>
    <x v="16"/>
    <x v="15"/>
    <x v="230"/>
    <x v="16"/>
    <x v="132"/>
    <x v="366"/>
    <x v="60"/>
    <x v="296"/>
    <x v="0"/>
    <x v="0"/>
  </r>
  <r>
    <x v="38"/>
    <x v="0"/>
    <x v="0"/>
    <x v="3"/>
    <x v="38"/>
    <x v="38"/>
    <x v="35"/>
    <x v="35"/>
    <x v="35"/>
    <x v="35"/>
    <x v="17"/>
    <x v="204"/>
    <x v="292"/>
    <x v="151"/>
    <x v="297"/>
    <x v="72"/>
    <x v="237"/>
    <x v="0"/>
    <x v="0"/>
  </r>
  <r>
    <x v="38"/>
    <x v="0"/>
    <x v="0"/>
    <x v="3"/>
    <x v="38"/>
    <x v="38"/>
    <x v="58"/>
    <x v="58"/>
    <x v="58"/>
    <x v="58"/>
    <x v="17"/>
    <x v="204"/>
    <x v="292"/>
    <x v="89"/>
    <x v="432"/>
    <x v="44"/>
    <x v="25"/>
    <x v="0"/>
    <x v="0"/>
  </r>
  <r>
    <x v="38"/>
    <x v="0"/>
    <x v="0"/>
    <x v="3"/>
    <x v="38"/>
    <x v="38"/>
    <x v="34"/>
    <x v="34"/>
    <x v="34"/>
    <x v="34"/>
    <x v="19"/>
    <x v="205"/>
    <x v="261"/>
    <x v="93"/>
    <x v="37"/>
    <x v="85"/>
    <x v="217"/>
    <x v="0"/>
    <x v="0"/>
  </r>
  <r>
    <x v="39"/>
    <x v="0"/>
    <x v="0"/>
    <x v="4"/>
    <x v="39"/>
    <x v="39"/>
    <x v="10"/>
    <x v="10"/>
    <x v="10"/>
    <x v="10"/>
    <x v="0"/>
    <x v="229"/>
    <x v="293"/>
    <x v="72"/>
    <x v="378"/>
    <x v="71"/>
    <x v="324"/>
    <x v="0"/>
    <x v="26"/>
  </r>
  <r>
    <x v="39"/>
    <x v="0"/>
    <x v="0"/>
    <x v="4"/>
    <x v="39"/>
    <x v="39"/>
    <x v="0"/>
    <x v="0"/>
    <x v="0"/>
    <x v="0"/>
    <x v="1"/>
    <x v="215"/>
    <x v="294"/>
    <x v="74"/>
    <x v="433"/>
    <x v="56"/>
    <x v="169"/>
    <x v="0"/>
    <x v="26"/>
  </r>
  <r>
    <x v="39"/>
    <x v="0"/>
    <x v="0"/>
    <x v="4"/>
    <x v="39"/>
    <x v="39"/>
    <x v="5"/>
    <x v="5"/>
    <x v="5"/>
    <x v="5"/>
    <x v="2"/>
    <x v="238"/>
    <x v="295"/>
    <x v="54"/>
    <x v="230"/>
    <x v="55"/>
    <x v="178"/>
    <x v="0"/>
    <x v="26"/>
  </r>
  <r>
    <x v="39"/>
    <x v="0"/>
    <x v="0"/>
    <x v="4"/>
    <x v="39"/>
    <x v="39"/>
    <x v="35"/>
    <x v="35"/>
    <x v="35"/>
    <x v="35"/>
    <x v="3"/>
    <x v="239"/>
    <x v="3"/>
    <x v="72"/>
    <x v="378"/>
    <x v="59"/>
    <x v="325"/>
    <x v="0"/>
    <x v="26"/>
  </r>
  <r>
    <x v="39"/>
    <x v="0"/>
    <x v="0"/>
    <x v="4"/>
    <x v="39"/>
    <x v="39"/>
    <x v="4"/>
    <x v="4"/>
    <x v="4"/>
    <x v="4"/>
    <x v="3"/>
    <x v="239"/>
    <x v="3"/>
    <x v="133"/>
    <x v="434"/>
    <x v="65"/>
    <x v="282"/>
    <x v="0"/>
    <x v="26"/>
  </r>
  <r>
    <x v="39"/>
    <x v="0"/>
    <x v="0"/>
    <x v="4"/>
    <x v="39"/>
    <x v="39"/>
    <x v="28"/>
    <x v="28"/>
    <x v="28"/>
    <x v="28"/>
    <x v="5"/>
    <x v="240"/>
    <x v="286"/>
    <x v="48"/>
    <x v="356"/>
    <x v="59"/>
    <x v="325"/>
    <x v="0"/>
    <x v="26"/>
  </r>
  <r>
    <x v="39"/>
    <x v="0"/>
    <x v="0"/>
    <x v="4"/>
    <x v="39"/>
    <x v="39"/>
    <x v="13"/>
    <x v="13"/>
    <x v="13"/>
    <x v="13"/>
    <x v="5"/>
    <x v="240"/>
    <x v="286"/>
    <x v="187"/>
    <x v="435"/>
    <x v="56"/>
    <x v="169"/>
    <x v="0"/>
    <x v="26"/>
  </r>
  <r>
    <x v="39"/>
    <x v="0"/>
    <x v="0"/>
    <x v="4"/>
    <x v="39"/>
    <x v="39"/>
    <x v="2"/>
    <x v="2"/>
    <x v="2"/>
    <x v="2"/>
    <x v="5"/>
    <x v="240"/>
    <x v="286"/>
    <x v="195"/>
    <x v="262"/>
    <x v="61"/>
    <x v="62"/>
    <x v="0"/>
    <x v="26"/>
  </r>
  <r>
    <x v="39"/>
    <x v="0"/>
    <x v="0"/>
    <x v="4"/>
    <x v="39"/>
    <x v="39"/>
    <x v="6"/>
    <x v="6"/>
    <x v="6"/>
    <x v="6"/>
    <x v="5"/>
    <x v="240"/>
    <x v="286"/>
    <x v="195"/>
    <x v="262"/>
    <x v="61"/>
    <x v="62"/>
    <x v="0"/>
    <x v="26"/>
  </r>
  <r>
    <x v="39"/>
    <x v="0"/>
    <x v="0"/>
    <x v="4"/>
    <x v="39"/>
    <x v="39"/>
    <x v="19"/>
    <x v="19"/>
    <x v="19"/>
    <x v="19"/>
    <x v="9"/>
    <x v="241"/>
    <x v="229"/>
    <x v="133"/>
    <x v="434"/>
    <x v="61"/>
    <x v="62"/>
    <x v="0"/>
    <x v="26"/>
  </r>
  <r>
    <x v="39"/>
    <x v="0"/>
    <x v="0"/>
    <x v="4"/>
    <x v="39"/>
    <x v="39"/>
    <x v="29"/>
    <x v="29"/>
    <x v="29"/>
    <x v="29"/>
    <x v="9"/>
    <x v="241"/>
    <x v="229"/>
    <x v="133"/>
    <x v="434"/>
    <x v="61"/>
    <x v="62"/>
    <x v="0"/>
    <x v="26"/>
  </r>
  <r>
    <x v="39"/>
    <x v="0"/>
    <x v="0"/>
    <x v="4"/>
    <x v="39"/>
    <x v="39"/>
    <x v="25"/>
    <x v="25"/>
    <x v="25"/>
    <x v="25"/>
    <x v="9"/>
    <x v="241"/>
    <x v="229"/>
    <x v="72"/>
    <x v="378"/>
    <x v="56"/>
    <x v="169"/>
    <x v="0"/>
    <x v="26"/>
  </r>
  <r>
    <x v="39"/>
    <x v="0"/>
    <x v="0"/>
    <x v="4"/>
    <x v="39"/>
    <x v="39"/>
    <x v="41"/>
    <x v="41"/>
    <x v="41"/>
    <x v="41"/>
    <x v="9"/>
    <x v="241"/>
    <x v="229"/>
    <x v="187"/>
    <x v="435"/>
    <x v="65"/>
    <x v="282"/>
    <x v="0"/>
    <x v="26"/>
  </r>
  <r>
    <x v="39"/>
    <x v="0"/>
    <x v="0"/>
    <x v="4"/>
    <x v="39"/>
    <x v="39"/>
    <x v="39"/>
    <x v="39"/>
    <x v="39"/>
    <x v="39"/>
    <x v="13"/>
    <x v="242"/>
    <x v="10"/>
    <x v="150"/>
    <x v="53"/>
    <x v="74"/>
    <x v="137"/>
    <x v="0"/>
    <x v="26"/>
  </r>
  <r>
    <x v="39"/>
    <x v="0"/>
    <x v="0"/>
    <x v="4"/>
    <x v="39"/>
    <x v="39"/>
    <x v="77"/>
    <x v="77"/>
    <x v="77"/>
    <x v="77"/>
    <x v="13"/>
    <x v="242"/>
    <x v="10"/>
    <x v="211"/>
    <x v="388"/>
    <x v="59"/>
    <x v="325"/>
    <x v="0"/>
    <x v="26"/>
  </r>
  <r>
    <x v="39"/>
    <x v="0"/>
    <x v="0"/>
    <x v="4"/>
    <x v="39"/>
    <x v="39"/>
    <x v="7"/>
    <x v="7"/>
    <x v="7"/>
    <x v="7"/>
    <x v="13"/>
    <x v="242"/>
    <x v="10"/>
    <x v="72"/>
    <x v="378"/>
    <x v="65"/>
    <x v="282"/>
    <x v="0"/>
    <x v="26"/>
  </r>
  <r>
    <x v="39"/>
    <x v="0"/>
    <x v="0"/>
    <x v="4"/>
    <x v="39"/>
    <x v="39"/>
    <x v="17"/>
    <x v="17"/>
    <x v="17"/>
    <x v="17"/>
    <x v="16"/>
    <x v="243"/>
    <x v="143"/>
    <x v="150"/>
    <x v="53"/>
    <x v="56"/>
    <x v="169"/>
    <x v="0"/>
    <x v="26"/>
  </r>
  <r>
    <x v="39"/>
    <x v="0"/>
    <x v="0"/>
    <x v="4"/>
    <x v="39"/>
    <x v="39"/>
    <x v="59"/>
    <x v="59"/>
    <x v="59"/>
    <x v="59"/>
    <x v="16"/>
    <x v="243"/>
    <x v="143"/>
    <x v="211"/>
    <x v="388"/>
    <x v="74"/>
    <x v="137"/>
    <x v="0"/>
    <x v="26"/>
  </r>
  <r>
    <x v="39"/>
    <x v="0"/>
    <x v="0"/>
    <x v="4"/>
    <x v="39"/>
    <x v="39"/>
    <x v="65"/>
    <x v="65"/>
    <x v="65"/>
    <x v="65"/>
    <x v="16"/>
    <x v="243"/>
    <x v="143"/>
    <x v="48"/>
    <x v="356"/>
    <x v="65"/>
    <x v="282"/>
    <x v="0"/>
    <x v="26"/>
  </r>
  <r>
    <x v="39"/>
    <x v="0"/>
    <x v="0"/>
    <x v="4"/>
    <x v="39"/>
    <x v="39"/>
    <x v="78"/>
    <x v="78"/>
    <x v="78"/>
    <x v="78"/>
    <x v="16"/>
    <x v="243"/>
    <x v="143"/>
    <x v="211"/>
    <x v="388"/>
    <x v="74"/>
    <x v="137"/>
    <x v="0"/>
    <x v="26"/>
  </r>
  <r>
    <x v="39"/>
    <x v="0"/>
    <x v="0"/>
    <x v="4"/>
    <x v="39"/>
    <x v="39"/>
    <x v="26"/>
    <x v="26"/>
    <x v="26"/>
    <x v="26"/>
    <x v="16"/>
    <x v="243"/>
    <x v="143"/>
    <x v="150"/>
    <x v="53"/>
    <x v="56"/>
    <x v="169"/>
    <x v="0"/>
    <x v="26"/>
  </r>
  <r>
    <x v="39"/>
    <x v="0"/>
    <x v="0"/>
    <x v="4"/>
    <x v="39"/>
    <x v="39"/>
    <x v="46"/>
    <x v="46"/>
    <x v="46"/>
    <x v="46"/>
    <x v="16"/>
    <x v="243"/>
    <x v="143"/>
    <x v="187"/>
    <x v="435"/>
    <x v="61"/>
    <x v="62"/>
    <x v="0"/>
    <x v="26"/>
  </r>
  <r>
    <x v="39"/>
    <x v="0"/>
    <x v="0"/>
    <x v="4"/>
    <x v="39"/>
    <x v="39"/>
    <x v="14"/>
    <x v="14"/>
    <x v="14"/>
    <x v="14"/>
    <x v="16"/>
    <x v="243"/>
    <x v="143"/>
    <x v="72"/>
    <x v="378"/>
    <x v="55"/>
    <x v="178"/>
    <x v="0"/>
    <x v="26"/>
  </r>
  <r>
    <x v="39"/>
    <x v="0"/>
    <x v="0"/>
    <x v="4"/>
    <x v="39"/>
    <x v="39"/>
    <x v="79"/>
    <x v="79"/>
    <x v="79"/>
    <x v="79"/>
    <x v="16"/>
    <x v="243"/>
    <x v="143"/>
    <x v="150"/>
    <x v="53"/>
    <x v="56"/>
    <x v="169"/>
    <x v="0"/>
    <x v="26"/>
  </r>
  <r>
    <x v="39"/>
    <x v="0"/>
    <x v="0"/>
    <x v="4"/>
    <x v="39"/>
    <x v="39"/>
    <x v="9"/>
    <x v="9"/>
    <x v="9"/>
    <x v="9"/>
    <x v="16"/>
    <x v="243"/>
    <x v="143"/>
    <x v="72"/>
    <x v="378"/>
    <x v="55"/>
    <x v="178"/>
    <x v="0"/>
    <x v="26"/>
  </r>
  <r>
    <x v="40"/>
    <x v="0"/>
    <x v="0"/>
    <x v="4"/>
    <x v="40"/>
    <x v="40"/>
    <x v="48"/>
    <x v="48"/>
    <x v="48"/>
    <x v="48"/>
    <x v="0"/>
    <x v="68"/>
    <x v="296"/>
    <x v="126"/>
    <x v="436"/>
    <x v="87"/>
    <x v="326"/>
    <x v="0"/>
    <x v="26"/>
  </r>
  <r>
    <x v="40"/>
    <x v="0"/>
    <x v="0"/>
    <x v="4"/>
    <x v="40"/>
    <x v="40"/>
    <x v="49"/>
    <x v="49"/>
    <x v="49"/>
    <x v="49"/>
    <x v="1"/>
    <x v="110"/>
    <x v="297"/>
    <x v="108"/>
    <x v="5"/>
    <x v="45"/>
    <x v="327"/>
    <x v="0"/>
    <x v="26"/>
  </r>
  <r>
    <x v="40"/>
    <x v="0"/>
    <x v="0"/>
    <x v="4"/>
    <x v="40"/>
    <x v="40"/>
    <x v="80"/>
    <x v="80"/>
    <x v="80"/>
    <x v="80"/>
    <x v="2"/>
    <x v="200"/>
    <x v="298"/>
    <x v="120"/>
    <x v="301"/>
    <x v="59"/>
    <x v="202"/>
    <x v="0"/>
    <x v="26"/>
  </r>
  <r>
    <x v="40"/>
    <x v="0"/>
    <x v="0"/>
    <x v="4"/>
    <x v="40"/>
    <x v="40"/>
    <x v="42"/>
    <x v="42"/>
    <x v="42"/>
    <x v="42"/>
    <x v="3"/>
    <x v="203"/>
    <x v="299"/>
    <x v="179"/>
    <x v="437"/>
    <x v="74"/>
    <x v="197"/>
    <x v="0"/>
    <x v="26"/>
  </r>
  <r>
    <x v="40"/>
    <x v="0"/>
    <x v="0"/>
    <x v="4"/>
    <x v="40"/>
    <x v="40"/>
    <x v="0"/>
    <x v="0"/>
    <x v="0"/>
    <x v="0"/>
    <x v="3"/>
    <x v="203"/>
    <x v="299"/>
    <x v="73"/>
    <x v="257"/>
    <x v="61"/>
    <x v="62"/>
    <x v="0"/>
    <x v="26"/>
  </r>
  <r>
    <x v="40"/>
    <x v="0"/>
    <x v="0"/>
    <x v="4"/>
    <x v="40"/>
    <x v="40"/>
    <x v="19"/>
    <x v="19"/>
    <x v="19"/>
    <x v="19"/>
    <x v="5"/>
    <x v="204"/>
    <x v="178"/>
    <x v="108"/>
    <x v="5"/>
    <x v="74"/>
    <x v="197"/>
    <x v="0"/>
    <x v="26"/>
  </r>
  <r>
    <x v="40"/>
    <x v="0"/>
    <x v="0"/>
    <x v="4"/>
    <x v="40"/>
    <x v="40"/>
    <x v="6"/>
    <x v="6"/>
    <x v="6"/>
    <x v="6"/>
    <x v="6"/>
    <x v="211"/>
    <x v="90"/>
    <x v="108"/>
    <x v="5"/>
    <x v="55"/>
    <x v="205"/>
    <x v="0"/>
    <x v="26"/>
  </r>
  <r>
    <x v="40"/>
    <x v="0"/>
    <x v="0"/>
    <x v="4"/>
    <x v="40"/>
    <x v="40"/>
    <x v="10"/>
    <x v="10"/>
    <x v="10"/>
    <x v="10"/>
    <x v="7"/>
    <x v="227"/>
    <x v="300"/>
    <x v="118"/>
    <x v="54"/>
    <x v="50"/>
    <x v="328"/>
    <x v="0"/>
    <x v="26"/>
  </r>
  <r>
    <x v="40"/>
    <x v="0"/>
    <x v="0"/>
    <x v="4"/>
    <x v="40"/>
    <x v="40"/>
    <x v="59"/>
    <x v="59"/>
    <x v="59"/>
    <x v="59"/>
    <x v="7"/>
    <x v="227"/>
    <x v="300"/>
    <x v="50"/>
    <x v="438"/>
    <x v="65"/>
    <x v="115"/>
    <x v="0"/>
    <x v="26"/>
  </r>
  <r>
    <x v="40"/>
    <x v="0"/>
    <x v="0"/>
    <x v="4"/>
    <x v="40"/>
    <x v="40"/>
    <x v="81"/>
    <x v="81"/>
    <x v="81"/>
    <x v="81"/>
    <x v="7"/>
    <x v="227"/>
    <x v="300"/>
    <x v="50"/>
    <x v="438"/>
    <x v="65"/>
    <x v="115"/>
    <x v="0"/>
    <x v="26"/>
  </r>
  <r>
    <x v="40"/>
    <x v="0"/>
    <x v="0"/>
    <x v="4"/>
    <x v="40"/>
    <x v="40"/>
    <x v="13"/>
    <x v="13"/>
    <x v="13"/>
    <x v="13"/>
    <x v="7"/>
    <x v="227"/>
    <x v="300"/>
    <x v="107"/>
    <x v="152"/>
    <x v="60"/>
    <x v="203"/>
    <x v="0"/>
    <x v="26"/>
  </r>
  <r>
    <x v="40"/>
    <x v="0"/>
    <x v="0"/>
    <x v="4"/>
    <x v="40"/>
    <x v="40"/>
    <x v="2"/>
    <x v="2"/>
    <x v="2"/>
    <x v="2"/>
    <x v="11"/>
    <x v="228"/>
    <x v="208"/>
    <x v="132"/>
    <x v="1"/>
    <x v="61"/>
    <x v="62"/>
    <x v="0"/>
    <x v="26"/>
  </r>
  <r>
    <x v="40"/>
    <x v="0"/>
    <x v="0"/>
    <x v="4"/>
    <x v="40"/>
    <x v="40"/>
    <x v="4"/>
    <x v="4"/>
    <x v="4"/>
    <x v="4"/>
    <x v="12"/>
    <x v="212"/>
    <x v="107"/>
    <x v="151"/>
    <x v="248"/>
    <x v="59"/>
    <x v="202"/>
    <x v="0"/>
    <x v="26"/>
  </r>
  <r>
    <x v="40"/>
    <x v="0"/>
    <x v="0"/>
    <x v="4"/>
    <x v="40"/>
    <x v="40"/>
    <x v="50"/>
    <x v="50"/>
    <x v="50"/>
    <x v="50"/>
    <x v="13"/>
    <x v="214"/>
    <x v="9"/>
    <x v="107"/>
    <x v="152"/>
    <x v="55"/>
    <x v="205"/>
    <x v="0"/>
    <x v="26"/>
  </r>
  <r>
    <x v="40"/>
    <x v="0"/>
    <x v="0"/>
    <x v="4"/>
    <x v="40"/>
    <x v="40"/>
    <x v="17"/>
    <x v="17"/>
    <x v="17"/>
    <x v="17"/>
    <x v="14"/>
    <x v="215"/>
    <x v="110"/>
    <x v="54"/>
    <x v="120"/>
    <x v="59"/>
    <x v="202"/>
    <x v="0"/>
    <x v="26"/>
  </r>
  <r>
    <x v="40"/>
    <x v="0"/>
    <x v="0"/>
    <x v="4"/>
    <x v="40"/>
    <x v="40"/>
    <x v="34"/>
    <x v="34"/>
    <x v="34"/>
    <x v="34"/>
    <x v="14"/>
    <x v="215"/>
    <x v="110"/>
    <x v="89"/>
    <x v="163"/>
    <x v="55"/>
    <x v="205"/>
    <x v="0"/>
    <x v="26"/>
  </r>
  <r>
    <x v="40"/>
    <x v="0"/>
    <x v="0"/>
    <x v="4"/>
    <x v="40"/>
    <x v="40"/>
    <x v="41"/>
    <x v="41"/>
    <x v="41"/>
    <x v="41"/>
    <x v="16"/>
    <x v="216"/>
    <x v="160"/>
    <x v="54"/>
    <x v="120"/>
    <x v="74"/>
    <x v="197"/>
    <x v="0"/>
    <x v="26"/>
  </r>
  <r>
    <x v="40"/>
    <x v="0"/>
    <x v="0"/>
    <x v="4"/>
    <x v="40"/>
    <x v="40"/>
    <x v="58"/>
    <x v="58"/>
    <x v="58"/>
    <x v="58"/>
    <x v="17"/>
    <x v="217"/>
    <x v="15"/>
    <x v="54"/>
    <x v="120"/>
    <x v="56"/>
    <x v="180"/>
    <x v="0"/>
    <x v="26"/>
  </r>
  <r>
    <x v="40"/>
    <x v="0"/>
    <x v="0"/>
    <x v="4"/>
    <x v="40"/>
    <x v="40"/>
    <x v="12"/>
    <x v="12"/>
    <x v="12"/>
    <x v="12"/>
    <x v="17"/>
    <x v="217"/>
    <x v="15"/>
    <x v="74"/>
    <x v="439"/>
    <x v="55"/>
    <x v="205"/>
    <x v="0"/>
    <x v="26"/>
  </r>
  <r>
    <x v="40"/>
    <x v="0"/>
    <x v="0"/>
    <x v="4"/>
    <x v="40"/>
    <x v="40"/>
    <x v="26"/>
    <x v="26"/>
    <x v="26"/>
    <x v="26"/>
    <x v="17"/>
    <x v="217"/>
    <x v="15"/>
    <x v="133"/>
    <x v="162"/>
    <x v="59"/>
    <x v="202"/>
    <x v="0"/>
    <x v="26"/>
  </r>
  <r>
    <x v="41"/>
    <x v="0"/>
    <x v="0"/>
    <x v="4"/>
    <x v="41"/>
    <x v="41"/>
    <x v="58"/>
    <x v="58"/>
    <x v="58"/>
    <x v="58"/>
    <x v="0"/>
    <x v="113"/>
    <x v="301"/>
    <x v="54"/>
    <x v="440"/>
    <x v="43"/>
    <x v="329"/>
    <x v="0"/>
    <x v="26"/>
  </r>
  <r>
    <x v="41"/>
    <x v="0"/>
    <x v="0"/>
    <x v="4"/>
    <x v="41"/>
    <x v="41"/>
    <x v="0"/>
    <x v="0"/>
    <x v="0"/>
    <x v="0"/>
    <x v="1"/>
    <x v="204"/>
    <x v="302"/>
    <x v="76"/>
    <x v="441"/>
    <x v="55"/>
    <x v="93"/>
    <x v="0"/>
    <x v="26"/>
  </r>
  <r>
    <x v="41"/>
    <x v="0"/>
    <x v="0"/>
    <x v="4"/>
    <x v="41"/>
    <x v="41"/>
    <x v="13"/>
    <x v="13"/>
    <x v="13"/>
    <x v="13"/>
    <x v="2"/>
    <x v="211"/>
    <x v="41"/>
    <x v="90"/>
    <x v="370"/>
    <x v="74"/>
    <x v="180"/>
    <x v="0"/>
    <x v="26"/>
  </r>
  <r>
    <x v="41"/>
    <x v="0"/>
    <x v="0"/>
    <x v="4"/>
    <x v="41"/>
    <x v="41"/>
    <x v="10"/>
    <x v="10"/>
    <x v="10"/>
    <x v="10"/>
    <x v="3"/>
    <x v="212"/>
    <x v="64"/>
    <x v="116"/>
    <x v="144"/>
    <x v="71"/>
    <x v="330"/>
    <x v="0"/>
    <x v="26"/>
  </r>
  <r>
    <x v="41"/>
    <x v="0"/>
    <x v="0"/>
    <x v="4"/>
    <x v="41"/>
    <x v="41"/>
    <x v="41"/>
    <x v="41"/>
    <x v="41"/>
    <x v="41"/>
    <x v="3"/>
    <x v="212"/>
    <x v="64"/>
    <x v="107"/>
    <x v="442"/>
    <x v="74"/>
    <x v="180"/>
    <x v="0"/>
    <x v="26"/>
  </r>
  <r>
    <x v="41"/>
    <x v="0"/>
    <x v="0"/>
    <x v="4"/>
    <x v="41"/>
    <x v="41"/>
    <x v="2"/>
    <x v="2"/>
    <x v="2"/>
    <x v="2"/>
    <x v="5"/>
    <x v="213"/>
    <x v="168"/>
    <x v="90"/>
    <x v="370"/>
    <x v="61"/>
    <x v="62"/>
    <x v="0"/>
    <x v="26"/>
  </r>
  <r>
    <x v="41"/>
    <x v="0"/>
    <x v="0"/>
    <x v="4"/>
    <x v="41"/>
    <x v="41"/>
    <x v="5"/>
    <x v="5"/>
    <x v="5"/>
    <x v="5"/>
    <x v="5"/>
    <x v="213"/>
    <x v="168"/>
    <x v="114"/>
    <x v="443"/>
    <x v="65"/>
    <x v="44"/>
    <x v="0"/>
    <x v="26"/>
  </r>
  <r>
    <x v="41"/>
    <x v="0"/>
    <x v="0"/>
    <x v="4"/>
    <x v="41"/>
    <x v="41"/>
    <x v="42"/>
    <x v="42"/>
    <x v="42"/>
    <x v="42"/>
    <x v="7"/>
    <x v="234"/>
    <x v="47"/>
    <x v="54"/>
    <x v="440"/>
    <x v="85"/>
    <x v="290"/>
    <x v="0"/>
    <x v="26"/>
  </r>
  <r>
    <x v="41"/>
    <x v="0"/>
    <x v="0"/>
    <x v="4"/>
    <x v="41"/>
    <x v="41"/>
    <x v="28"/>
    <x v="28"/>
    <x v="28"/>
    <x v="28"/>
    <x v="8"/>
    <x v="235"/>
    <x v="157"/>
    <x v="116"/>
    <x v="144"/>
    <x v="75"/>
    <x v="152"/>
    <x v="0"/>
    <x v="26"/>
  </r>
  <r>
    <x v="41"/>
    <x v="0"/>
    <x v="0"/>
    <x v="4"/>
    <x v="41"/>
    <x v="41"/>
    <x v="26"/>
    <x v="26"/>
    <x v="26"/>
    <x v="26"/>
    <x v="8"/>
    <x v="235"/>
    <x v="157"/>
    <x v="133"/>
    <x v="212"/>
    <x v="83"/>
    <x v="331"/>
    <x v="0"/>
    <x v="26"/>
  </r>
  <r>
    <x v="41"/>
    <x v="0"/>
    <x v="0"/>
    <x v="4"/>
    <x v="41"/>
    <x v="41"/>
    <x v="6"/>
    <x v="6"/>
    <x v="6"/>
    <x v="6"/>
    <x v="8"/>
    <x v="235"/>
    <x v="157"/>
    <x v="151"/>
    <x v="379"/>
    <x v="61"/>
    <x v="62"/>
    <x v="0"/>
    <x v="26"/>
  </r>
  <r>
    <x v="41"/>
    <x v="0"/>
    <x v="0"/>
    <x v="4"/>
    <x v="41"/>
    <x v="41"/>
    <x v="35"/>
    <x v="35"/>
    <x v="35"/>
    <x v="35"/>
    <x v="11"/>
    <x v="215"/>
    <x v="49"/>
    <x v="48"/>
    <x v="444"/>
    <x v="72"/>
    <x v="332"/>
    <x v="0"/>
    <x v="26"/>
  </r>
  <r>
    <x v="41"/>
    <x v="0"/>
    <x v="0"/>
    <x v="4"/>
    <x v="41"/>
    <x v="41"/>
    <x v="70"/>
    <x v="70"/>
    <x v="70"/>
    <x v="70"/>
    <x v="11"/>
    <x v="215"/>
    <x v="49"/>
    <x v="187"/>
    <x v="240"/>
    <x v="75"/>
    <x v="152"/>
    <x v="0"/>
    <x v="26"/>
  </r>
  <r>
    <x v="41"/>
    <x v="0"/>
    <x v="0"/>
    <x v="4"/>
    <x v="41"/>
    <x v="41"/>
    <x v="19"/>
    <x v="19"/>
    <x v="19"/>
    <x v="19"/>
    <x v="13"/>
    <x v="217"/>
    <x v="97"/>
    <x v="54"/>
    <x v="440"/>
    <x v="56"/>
    <x v="333"/>
    <x v="0"/>
    <x v="26"/>
  </r>
  <r>
    <x v="41"/>
    <x v="0"/>
    <x v="0"/>
    <x v="4"/>
    <x v="41"/>
    <x v="41"/>
    <x v="4"/>
    <x v="4"/>
    <x v="4"/>
    <x v="4"/>
    <x v="13"/>
    <x v="217"/>
    <x v="97"/>
    <x v="118"/>
    <x v="71"/>
    <x v="65"/>
    <x v="44"/>
    <x v="0"/>
    <x v="26"/>
  </r>
  <r>
    <x v="41"/>
    <x v="0"/>
    <x v="0"/>
    <x v="4"/>
    <x v="41"/>
    <x v="41"/>
    <x v="1"/>
    <x v="1"/>
    <x v="1"/>
    <x v="1"/>
    <x v="13"/>
    <x v="217"/>
    <x v="97"/>
    <x v="118"/>
    <x v="71"/>
    <x v="65"/>
    <x v="44"/>
    <x v="0"/>
    <x v="26"/>
  </r>
  <r>
    <x v="41"/>
    <x v="0"/>
    <x v="0"/>
    <x v="4"/>
    <x v="41"/>
    <x v="41"/>
    <x v="33"/>
    <x v="33"/>
    <x v="33"/>
    <x v="33"/>
    <x v="16"/>
    <x v="218"/>
    <x v="13"/>
    <x v="187"/>
    <x v="240"/>
    <x v="60"/>
    <x v="240"/>
    <x v="0"/>
    <x v="26"/>
  </r>
  <r>
    <x v="41"/>
    <x v="0"/>
    <x v="0"/>
    <x v="4"/>
    <x v="41"/>
    <x v="41"/>
    <x v="22"/>
    <x v="22"/>
    <x v="22"/>
    <x v="22"/>
    <x v="16"/>
    <x v="218"/>
    <x v="13"/>
    <x v="150"/>
    <x v="165"/>
    <x v="75"/>
    <x v="152"/>
    <x v="0"/>
    <x v="26"/>
  </r>
  <r>
    <x v="41"/>
    <x v="0"/>
    <x v="0"/>
    <x v="4"/>
    <x v="41"/>
    <x v="41"/>
    <x v="14"/>
    <x v="14"/>
    <x v="14"/>
    <x v="14"/>
    <x v="18"/>
    <x v="238"/>
    <x v="34"/>
    <x v="48"/>
    <x v="444"/>
    <x v="85"/>
    <x v="290"/>
    <x v="0"/>
    <x v="26"/>
  </r>
  <r>
    <x v="41"/>
    <x v="0"/>
    <x v="0"/>
    <x v="4"/>
    <x v="41"/>
    <x v="41"/>
    <x v="9"/>
    <x v="9"/>
    <x v="9"/>
    <x v="9"/>
    <x v="18"/>
    <x v="238"/>
    <x v="34"/>
    <x v="118"/>
    <x v="71"/>
    <x v="61"/>
    <x v="62"/>
    <x v="0"/>
    <x v="26"/>
  </r>
  <r>
    <x v="42"/>
    <x v="0"/>
    <x v="0"/>
    <x v="4"/>
    <x v="42"/>
    <x v="42"/>
    <x v="0"/>
    <x v="0"/>
    <x v="0"/>
    <x v="0"/>
    <x v="0"/>
    <x v="121"/>
    <x v="303"/>
    <x v="127"/>
    <x v="445"/>
    <x v="56"/>
    <x v="334"/>
    <x v="0"/>
    <x v="0"/>
  </r>
  <r>
    <x v="42"/>
    <x v="0"/>
    <x v="0"/>
    <x v="4"/>
    <x v="42"/>
    <x v="42"/>
    <x v="2"/>
    <x v="2"/>
    <x v="2"/>
    <x v="2"/>
    <x v="1"/>
    <x v="202"/>
    <x v="304"/>
    <x v="117"/>
    <x v="446"/>
    <x v="55"/>
    <x v="260"/>
    <x v="5"/>
    <x v="22"/>
  </r>
  <r>
    <x v="42"/>
    <x v="0"/>
    <x v="0"/>
    <x v="4"/>
    <x v="42"/>
    <x v="42"/>
    <x v="10"/>
    <x v="10"/>
    <x v="10"/>
    <x v="10"/>
    <x v="2"/>
    <x v="227"/>
    <x v="61"/>
    <x v="72"/>
    <x v="369"/>
    <x v="69"/>
    <x v="335"/>
    <x v="0"/>
    <x v="0"/>
  </r>
  <r>
    <x v="42"/>
    <x v="0"/>
    <x v="0"/>
    <x v="4"/>
    <x v="42"/>
    <x v="42"/>
    <x v="6"/>
    <x v="6"/>
    <x v="6"/>
    <x v="6"/>
    <x v="3"/>
    <x v="228"/>
    <x v="185"/>
    <x v="132"/>
    <x v="263"/>
    <x v="61"/>
    <x v="62"/>
    <x v="0"/>
    <x v="0"/>
  </r>
  <r>
    <x v="42"/>
    <x v="0"/>
    <x v="0"/>
    <x v="4"/>
    <x v="42"/>
    <x v="42"/>
    <x v="8"/>
    <x v="8"/>
    <x v="8"/>
    <x v="8"/>
    <x v="4"/>
    <x v="212"/>
    <x v="102"/>
    <x v="50"/>
    <x v="79"/>
    <x v="61"/>
    <x v="62"/>
    <x v="0"/>
    <x v="0"/>
  </r>
  <r>
    <x v="42"/>
    <x v="0"/>
    <x v="0"/>
    <x v="4"/>
    <x v="42"/>
    <x v="42"/>
    <x v="5"/>
    <x v="5"/>
    <x v="5"/>
    <x v="5"/>
    <x v="4"/>
    <x v="212"/>
    <x v="102"/>
    <x v="93"/>
    <x v="447"/>
    <x v="65"/>
    <x v="336"/>
    <x v="0"/>
    <x v="0"/>
  </r>
  <r>
    <x v="42"/>
    <x v="0"/>
    <x v="0"/>
    <x v="4"/>
    <x v="42"/>
    <x v="42"/>
    <x v="1"/>
    <x v="1"/>
    <x v="1"/>
    <x v="1"/>
    <x v="6"/>
    <x v="213"/>
    <x v="76"/>
    <x v="151"/>
    <x v="83"/>
    <x v="74"/>
    <x v="77"/>
    <x v="0"/>
    <x v="0"/>
  </r>
  <r>
    <x v="42"/>
    <x v="0"/>
    <x v="0"/>
    <x v="4"/>
    <x v="42"/>
    <x v="42"/>
    <x v="4"/>
    <x v="4"/>
    <x v="4"/>
    <x v="4"/>
    <x v="7"/>
    <x v="229"/>
    <x v="207"/>
    <x v="89"/>
    <x v="448"/>
    <x v="59"/>
    <x v="337"/>
    <x v="0"/>
    <x v="0"/>
  </r>
  <r>
    <x v="42"/>
    <x v="0"/>
    <x v="0"/>
    <x v="4"/>
    <x v="42"/>
    <x v="42"/>
    <x v="16"/>
    <x v="16"/>
    <x v="16"/>
    <x v="16"/>
    <x v="8"/>
    <x v="214"/>
    <x v="264"/>
    <x v="151"/>
    <x v="83"/>
    <x v="65"/>
    <x v="336"/>
    <x v="0"/>
    <x v="0"/>
  </r>
  <r>
    <x v="42"/>
    <x v="0"/>
    <x v="0"/>
    <x v="4"/>
    <x v="42"/>
    <x v="42"/>
    <x v="13"/>
    <x v="13"/>
    <x v="13"/>
    <x v="13"/>
    <x v="9"/>
    <x v="234"/>
    <x v="208"/>
    <x v="74"/>
    <x v="321"/>
    <x v="59"/>
    <x v="337"/>
    <x v="0"/>
    <x v="0"/>
  </r>
  <r>
    <x v="42"/>
    <x v="0"/>
    <x v="0"/>
    <x v="4"/>
    <x v="42"/>
    <x v="42"/>
    <x v="9"/>
    <x v="9"/>
    <x v="9"/>
    <x v="9"/>
    <x v="9"/>
    <x v="234"/>
    <x v="208"/>
    <x v="89"/>
    <x v="448"/>
    <x v="56"/>
    <x v="334"/>
    <x v="0"/>
    <x v="0"/>
  </r>
  <r>
    <x v="42"/>
    <x v="0"/>
    <x v="0"/>
    <x v="4"/>
    <x v="42"/>
    <x v="42"/>
    <x v="3"/>
    <x v="3"/>
    <x v="3"/>
    <x v="3"/>
    <x v="11"/>
    <x v="215"/>
    <x v="121"/>
    <x v="56"/>
    <x v="191"/>
    <x v="61"/>
    <x v="62"/>
    <x v="0"/>
    <x v="0"/>
  </r>
  <r>
    <x v="42"/>
    <x v="0"/>
    <x v="0"/>
    <x v="4"/>
    <x v="42"/>
    <x v="42"/>
    <x v="82"/>
    <x v="82"/>
    <x v="82"/>
    <x v="82"/>
    <x v="11"/>
    <x v="215"/>
    <x v="121"/>
    <x v="91"/>
    <x v="55"/>
    <x v="61"/>
    <x v="62"/>
    <x v="1"/>
    <x v="14"/>
  </r>
  <r>
    <x v="42"/>
    <x v="0"/>
    <x v="0"/>
    <x v="4"/>
    <x v="42"/>
    <x v="42"/>
    <x v="14"/>
    <x v="14"/>
    <x v="14"/>
    <x v="14"/>
    <x v="13"/>
    <x v="216"/>
    <x v="291"/>
    <x v="54"/>
    <x v="411"/>
    <x v="74"/>
    <x v="77"/>
    <x v="0"/>
    <x v="0"/>
  </r>
  <r>
    <x v="42"/>
    <x v="0"/>
    <x v="0"/>
    <x v="4"/>
    <x v="42"/>
    <x v="42"/>
    <x v="40"/>
    <x v="40"/>
    <x v="40"/>
    <x v="40"/>
    <x v="14"/>
    <x v="217"/>
    <x v="10"/>
    <x v="195"/>
    <x v="70"/>
    <x v="74"/>
    <x v="77"/>
    <x v="0"/>
    <x v="0"/>
  </r>
  <r>
    <x v="42"/>
    <x v="0"/>
    <x v="0"/>
    <x v="4"/>
    <x v="42"/>
    <x v="42"/>
    <x v="18"/>
    <x v="18"/>
    <x v="18"/>
    <x v="18"/>
    <x v="15"/>
    <x v="218"/>
    <x v="109"/>
    <x v="187"/>
    <x v="181"/>
    <x v="60"/>
    <x v="272"/>
    <x v="0"/>
    <x v="0"/>
  </r>
  <r>
    <x v="42"/>
    <x v="0"/>
    <x v="0"/>
    <x v="4"/>
    <x v="42"/>
    <x v="42"/>
    <x v="15"/>
    <x v="15"/>
    <x v="15"/>
    <x v="15"/>
    <x v="15"/>
    <x v="218"/>
    <x v="109"/>
    <x v="150"/>
    <x v="449"/>
    <x v="75"/>
    <x v="338"/>
    <x v="0"/>
    <x v="0"/>
  </r>
  <r>
    <x v="42"/>
    <x v="0"/>
    <x v="0"/>
    <x v="4"/>
    <x v="42"/>
    <x v="42"/>
    <x v="23"/>
    <x v="23"/>
    <x v="23"/>
    <x v="23"/>
    <x v="15"/>
    <x v="218"/>
    <x v="109"/>
    <x v="118"/>
    <x v="440"/>
    <x v="55"/>
    <x v="260"/>
    <x v="0"/>
    <x v="0"/>
  </r>
  <r>
    <x v="42"/>
    <x v="0"/>
    <x v="0"/>
    <x v="4"/>
    <x v="42"/>
    <x v="42"/>
    <x v="21"/>
    <x v="21"/>
    <x v="21"/>
    <x v="21"/>
    <x v="15"/>
    <x v="218"/>
    <x v="109"/>
    <x v="74"/>
    <x v="321"/>
    <x v="61"/>
    <x v="62"/>
    <x v="0"/>
    <x v="0"/>
  </r>
  <r>
    <x v="42"/>
    <x v="0"/>
    <x v="0"/>
    <x v="4"/>
    <x v="42"/>
    <x v="42"/>
    <x v="7"/>
    <x v="7"/>
    <x v="7"/>
    <x v="7"/>
    <x v="19"/>
    <x v="238"/>
    <x v="160"/>
    <x v="54"/>
    <x v="411"/>
    <x v="55"/>
    <x v="260"/>
    <x v="0"/>
    <x v="0"/>
  </r>
  <r>
    <x v="43"/>
    <x v="0"/>
    <x v="0"/>
    <x v="4"/>
    <x v="43"/>
    <x v="43"/>
    <x v="10"/>
    <x v="10"/>
    <x v="10"/>
    <x v="10"/>
    <x v="0"/>
    <x v="205"/>
    <x v="305"/>
    <x v="91"/>
    <x v="172"/>
    <x v="44"/>
    <x v="339"/>
    <x v="0"/>
    <x v="0"/>
  </r>
  <r>
    <x v="43"/>
    <x v="0"/>
    <x v="0"/>
    <x v="4"/>
    <x v="43"/>
    <x v="43"/>
    <x v="0"/>
    <x v="0"/>
    <x v="0"/>
    <x v="0"/>
    <x v="1"/>
    <x v="235"/>
    <x v="100"/>
    <x v="56"/>
    <x v="450"/>
    <x v="55"/>
    <x v="43"/>
    <x v="0"/>
    <x v="0"/>
  </r>
  <r>
    <x v="43"/>
    <x v="0"/>
    <x v="0"/>
    <x v="4"/>
    <x v="43"/>
    <x v="43"/>
    <x v="51"/>
    <x v="51"/>
    <x v="51"/>
    <x v="51"/>
    <x v="2"/>
    <x v="216"/>
    <x v="302"/>
    <x v="54"/>
    <x v="84"/>
    <x v="74"/>
    <x v="340"/>
    <x v="0"/>
    <x v="0"/>
  </r>
  <r>
    <x v="43"/>
    <x v="0"/>
    <x v="0"/>
    <x v="4"/>
    <x v="43"/>
    <x v="43"/>
    <x v="42"/>
    <x v="42"/>
    <x v="42"/>
    <x v="42"/>
    <x v="3"/>
    <x v="217"/>
    <x v="1"/>
    <x v="118"/>
    <x v="347"/>
    <x v="65"/>
    <x v="341"/>
    <x v="0"/>
    <x v="0"/>
  </r>
  <r>
    <x v="43"/>
    <x v="0"/>
    <x v="0"/>
    <x v="4"/>
    <x v="43"/>
    <x v="43"/>
    <x v="6"/>
    <x v="6"/>
    <x v="6"/>
    <x v="6"/>
    <x v="4"/>
    <x v="218"/>
    <x v="306"/>
    <x v="74"/>
    <x v="188"/>
    <x v="61"/>
    <x v="62"/>
    <x v="0"/>
    <x v="0"/>
  </r>
  <r>
    <x v="43"/>
    <x v="0"/>
    <x v="0"/>
    <x v="4"/>
    <x v="43"/>
    <x v="43"/>
    <x v="4"/>
    <x v="4"/>
    <x v="4"/>
    <x v="4"/>
    <x v="5"/>
    <x v="238"/>
    <x v="307"/>
    <x v="118"/>
    <x v="347"/>
    <x v="61"/>
    <x v="62"/>
    <x v="0"/>
    <x v="0"/>
  </r>
  <r>
    <x v="43"/>
    <x v="0"/>
    <x v="0"/>
    <x v="4"/>
    <x v="43"/>
    <x v="43"/>
    <x v="2"/>
    <x v="2"/>
    <x v="2"/>
    <x v="2"/>
    <x v="5"/>
    <x v="238"/>
    <x v="307"/>
    <x v="118"/>
    <x v="347"/>
    <x v="61"/>
    <x v="62"/>
    <x v="0"/>
    <x v="0"/>
  </r>
  <r>
    <x v="43"/>
    <x v="0"/>
    <x v="0"/>
    <x v="4"/>
    <x v="43"/>
    <x v="43"/>
    <x v="17"/>
    <x v="17"/>
    <x v="17"/>
    <x v="17"/>
    <x v="7"/>
    <x v="239"/>
    <x v="25"/>
    <x v="116"/>
    <x v="332"/>
    <x v="56"/>
    <x v="332"/>
    <x v="0"/>
    <x v="0"/>
  </r>
  <r>
    <x v="43"/>
    <x v="0"/>
    <x v="0"/>
    <x v="4"/>
    <x v="43"/>
    <x v="43"/>
    <x v="59"/>
    <x v="59"/>
    <x v="59"/>
    <x v="59"/>
    <x v="7"/>
    <x v="239"/>
    <x v="25"/>
    <x v="195"/>
    <x v="145"/>
    <x v="55"/>
    <x v="43"/>
    <x v="0"/>
    <x v="0"/>
  </r>
  <r>
    <x v="43"/>
    <x v="0"/>
    <x v="0"/>
    <x v="4"/>
    <x v="43"/>
    <x v="43"/>
    <x v="19"/>
    <x v="19"/>
    <x v="19"/>
    <x v="19"/>
    <x v="7"/>
    <x v="239"/>
    <x v="25"/>
    <x v="54"/>
    <x v="84"/>
    <x v="61"/>
    <x v="62"/>
    <x v="0"/>
    <x v="0"/>
  </r>
  <r>
    <x v="43"/>
    <x v="0"/>
    <x v="0"/>
    <x v="4"/>
    <x v="43"/>
    <x v="43"/>
    <x v="57"/>
    <x v="57"/>
    <x v="57"/>
    <x v="57"/>
    <x v="7"/>
    <x v="239"/>
    <x v="25"/>
    <x v="195"/>
    <x v="145"/>
    <x v="55"/>
    <x v="43"/>
    <x v="0"/>
    <x v="0"/>
  </r>
  <r>
    <x v="43"/>
    <x v="0"/>
    <x v="0"/>
    <x v="4"/>
    <x v="43"/>
    <x v="43"/>
    <x v="41"/>
    <x v="41"/>
    <x v="41"/>
    <x v="41"/>
    <x v="7"/>
    <x v="239"/>
    <x v="25"/>
    <x v="54"/>
    <x v="84"/>
    <x v="61"/>
    <x v="62"/>
    <x v="0"/>
    <x v="0"/>
  </r>
  <r>
    <x v="43"/>
    <x v="0"/>
    <x v="0"/>
    <x v="4"/>
    <x v="43"/>
    <x v="43"/>
    <x v="64"/>
    <x v="64"/>
    <x v="64"/>
    <x v="64"/>
    <x v="12"/>
    <x v="240"/>
    <x v="140"/>
    <x v="133"/>
    <x v="143"/>
    <x v="55"/>
    <x v="43"/>
    <x v="0"/>
    <x v="0"/>
  </r>
  <r>
    <x v="43"/>
    <x v="0"/>
    <x v="0"/>
    <x v="4"/>
    <x v="43"/>
    <x v="43"/>
    <x v="58"/>
    <x v="58"/>
    <x v="58"/>
    <x v="58"/>
    <x v="13"/>
    <x v="241"/>
    <x v="158"/>
    <x v="72"/>
    <x v="451"/>
    <x v="56"/>
    <x v="332"/>
    <x v="0"/>
    <x v="0"/>
  </r>
  <r>
    <x v="43"/>
    <x v="0"/>
    <x v="0"/>
    <x v="4"/>
    <x v="43"/>
    <x v="43"/>
    <x v="18"/>
    <x v="18"/>
    <x v="18"/>
    <x v="18"/>
    <x v="13"/>
    <x v="241"/>
    <x v="158"/>
    <x v="187"/>
    <x v="146"/>
    <x v="65"/>
    <x v="341"/>
    <x v="0"/>
    <x v="0"/>
  </r>
  <r>
    <x v="43"/>
    <x v="0"/>
    <x v="0"/>
    <x v="4"/>
    <x v="43"/>
    <x v="43"/>
    <x v="47"/>
    <x v="47"/>
    <x v="47"/>
    <x v="47"/>
    <x v="13"/>
    <x v="241"/>
    <x v="158"/>
    <x v="72"/>
    <x v="451"/>
    <x v="56"/>
    <x v="332"/>
    <x v="0"/>
    <x v="0"/>
  </r>
  <r>
    <x v="43"/>
    <x v="0"/>
    <x v="0"/>
    <x v="4"/>
    <x v="43"/>
    <x v="43"/>
    <x v="16"/>
    <x v="16"/>
    <x v="16"/>
    <x v="16"/>
    <x v="13"/>
    <x v="241"/>
    <x v="158"/>
    <x v="133"/>
    <x v="143"/>
    <x v="61"/>
    <x v="62"/>
    <x v="0"/>
    <x v="0"/>
  </r>
  <r>
    <x v="43"/>
    <x v="0"/>
    <x v="0"/>
    <x v="4"/>
    <x v="43"/>
    <x v="43"/>
    <x v="83"/>
    <x v="83"/>
    <x v="83"/>
    <x v="83"/>
    <x v="17"/>
    <x v="242"/>
    <x v="142"/>
    <x v="48"/>
    <x v="108"/>
    <x v="56"/>
    <x v="332"/>
    <x v="0"/>
    <x v="0"/>
  </r>
  <r>
    <x v="43"/>
    <x v="0"/>
    <x v="0"/>
    <x v="4"/>
    <x v="43"/>
    <x v="43"/>
    <x v="13"/>
    <x v="13"/>
    <x v="13"/>
    <x v="13"/>
    <x v="17"/>
    <x v="242"/>
    <x v="142"/>
    <x v="116"/>
    <x v="332"/>
    <x v="61"/>
    <x v="62"/>
    <x v="0"/>
    <x v="0"/>
  </r>
  <r>
    <x v="43"/>
    <x v="0"/>
    <x v="0"/>
    <x v="4"/>
    <x v="43"/>
    <x v="43"/>
    <x v="66"/>
    <x v="66"/>
    <x v="66"/>
    <x v="66"/>
    <x v="19"/>
    <x v="243"/>
    <x v="292"/>
    <x v="150"/>
    <x v="51"/>
    <x v="56"/>
    <x v="332"/>
    <x v="0"/>
    <x v="0"/>
  </r>
  <r>
    <x v="43"/>
    <x v="0"/>
    <x v="0"/>
    <x v="4"/>
    <x v="43"/>
    <x v="43"/>
    <x v="84"/>
    <x v="84"/>
    <x v="84"/>
    <x v="84"/>
    <x v="19"/>
    <x v="243"/>
    <x v="292"/>
    <x v="211"/>
    <x v="388"/>
    <x v="74"/>
    <x v="340"/>
    <x v="0"/>
    <x v="0"/>
  </r>
  <r>
    <x v="43"/>
    <x v="0"/>
    <x v="0"/>
    <x v="4"/>
    <x v="43"/>
    <x v="43"/>
    <x v="85"/>
    <x v="85"/>
    <x v="85"/>
    <x v="85"/>
    <x v="19"/>
    <x v="243"/>
    <x v="292"/>
    <x v="150"/>
    <x v="51"/>
    <x v="56"/>
    <x v="332"/>
    <x v="0"/>
    <x v="0"/>
  </r>
  <r>
    <x v="43"/>
    <x v="0"/>
    <x v="0"/>
    <x v="4"/>
    <x v="43"/>
    <x v="43"/>
    <x v="29"/>
    <x v="29"/>
    <x v="29"/>
    <x v="29"/>
    <x v="19"/>
    <x v="243"/>
    <x v="292"/>
    <x v="187"/>
    <x v="146"/>
    <x v="61"/>
    <x v="62"/>
    <x v="0"/>
    <x v="0"/>
  </r>
  <r>
    <x v="43"/>
    <x v="0"/>
    <x v="0"/>
    <x v="4"/>
    <x v="43"/>
    <x v="43"/>
    <x v="34"/>
    <x v="34"/>
    <x v="34"/>
    <x v="34"/>
    <x v="19"/>
    <x v="243"/>
    <x v="292"/>
    <x v="48"/>
    <x v="108"/>
    <x v="65"/>
    <x v="341"/>
    <x v="0"/>
    <x v="0"/>
  </r>
  <r>
    <x v="43"/>
    <x v="0"/>
    <x v="0"/>
    <x v="4"/>
    <x v="43"/>
    <x v="43"/>
    <x v="14"/>
    <x v="14"/>
    <x v="14"/>
    <x v="14"/>
    <x v="19"/>
    <x v="243"/>
    <x v="292"/>
    <x v="48"/>
    <x v="108"/>
    <x v="65"/>
    <x v="341"/>
    <x v="0"/>
    <x v="0"/>
  </r>
  <r>
    <x v="43"/>
    <x v="0"/>
    <x v="0"/>
    <x v="4"/>
    <x v="43"/>
    <x v="43"/>
    <x v="9"/>
    <x v="9"/>
    <x v="9"/>
    <x v="9"/>
    <x v="19"/>
    <x v="243"/>
    <x v="292"/>
    <x v="187"/>
    <x v="146"/>
    <x v="61"/>
    <x v="62"/>
    <x v="0"/>
    <x v="0"/>
  </r>
  <r>
    <x v="44"/>
    <x v="0"/>
    <x v="0"/>
    <x v="4"/>
    <x v="44"/>
    <x v="44"/>
    <x v="0"/>
    <x v="0"/>
    <x v="0"/>
    <x v="0"/>
    <x v="0"/>
    <x v="202"/>
    <x v="308"/>
    <x v="73"/>
    <x v="452"/>
    <x v="55"/>
    <x v="112"/>
    <x v="0"/>
    <x v="26"/>
  </r>
  <r>
    <x v="44"/>
    <x v="0"/>
    <x v="0"/>
    <x v="4"/>
    <x v="44"/>
    <x v="44"/>
    <x v="10"/>
    <x v="10"/>
    <x v="10"/>
    <x v="10"/>
    <x v="1"/>
    <x v="227"/>
    <x v="115"/>
    <x v="54"/>
    <x v="453"/>
    <x v="44"/>
    <x v="342"/>
    <x v="0"/>
    <x v="26"/>
  </r>
  <r>
    <x v="44"/>
    <x v="0"/>
    <x v="0"/>
    <x v="4"/>
    <x v="44"/>
    <x v="44"/>
    <x v="5"/>
    <x v="5"/>
    <x v="5"/>
    <x v="5"/>
    <x v="2"/>
    <x v="212"/>
    <x v="263"/>
    <x v="114"/>
    <x v="454"/>
    <x v="56"/>
    <x v="13"/>
    <x v="0"/>
    <x v="26"/>
  </r>
  <r>
    <x v="44"/>
    <x v="0"/>
    <x v="0"/>
    <x v="4"/>
    <x v="44"/>
    <x v="44"/>
    <x v="23"/>
    <x v="23"/>
    <x v="23"/>
    <x v="23"/>
    <x v="3"/>
    <x v="213"/>
    <x v="309"/>
    <x v="93"/>
    <x v="256"/>
    <x v="55"/>
    <x v="112"/>
    <x v="0"/>
    <x v="26"/>
  </r>
  <r>
    <x v="44"/>
    <x v="0"/>
    <x v="0"/>
    <x v="4"/>
    <x v="44"/>
    <x v="44"/>
    <x v="6"/>
    <x v="6"/>
    <x v="6"/>
    <x v="6"/>
    <x v="3"/>
    <x v="213"/>
    <x v="309"/>
    <x v="93"/>
    <x v="256"/>
    <x v="55"/>
    <x v="112"/>
    <x v="0"/>
    <x v="26"/>
  </r>
  <r>
    <x v="44"/>
    <x v="0"/>
    <x v="0"/>
    <x v="4"/>
    <x v="44"/>
    <x v="44"/>
    <x v="13"/>
    <x v="13"/>
    <x v="13"/>
    <x v="13"/>
    <x v="5"/>
    <x v="234"/>
    <x v="207"/>
    <x v="118"/>
    <x v="355"/>
    <x v="60"/>
    <x v="343"/>
    <x v="0"/>
    <x v="26"/>
  </r>
  <r>
    <x v="44"/>
    <x v="0"/>
    <x v="0"/>
    <x v="4"/>
    <x v="44"/>
    <x v="44"/>
    <x v="4"/>
    <x v="4"/>
    <x v="4"/>
    <x v="4"/>
    <x v="5"/>
    <x v="234"/>
    <x v="207"/>
    <x v="56"/>
    <x v="206"/>
    <x v="65"/>
    <x v="275"/>
    <x v="0"/>
    <x v="26"/>
  </r>
  <r>
    <x v="44"/>
    <x v="0"/>
    <x v="0"/>
    <x v="4"/>
    <x v="44"/>
    <x v="44"/>
    <x v="86"/>
    <x v="86"/>
    <x v="86"/>
    <x v="86"/>
    <x v="7"/>
    <x v="215"/>
    <x v="68"/>
    <x v="91"/>
    <x v="438"/>
    <x v="65"/>
    <x v="275"/>
    <x v="0"/>
    <x v="26"/>
  </r>
  <r>
    <x v="44"/>
    <x v="0"/>
    <x v="0"/>
    <x v="4"/>
    <x v="44"/>
    <x v="44"/>
    <x v="2"/>
    <x v="2"/>
    <x v="2"/>
    <x v="2"/>
    <x v="8"/>
    <x v="216"/>
    <x v="120"/>
    <x v="89"/>
    <x v="243"/>
    <x v="61"/>
    <x v="62"/>
    <x v="0"/>
    <x v="26"/>
  </r>
  <r>
    <x v="44"/>
    <x v="0"/>
    <x v="0"/>
    <x v="4"/>
    <x v="44"/>
    <x v="44"/>
    <x v="17"/>
    <x v="17"/>
    <x v="17"/>
    <x v="17"/>
    <x v="9"/>
    <x v="217"/>
    <x v="150"/>
    <x v="72"/>
    <x v="298"/>
    <x v="83"/>
    <x v="277"/>
    <x v="0"/>
    <x v="26"/>
  </r>
  <r>
    <x v="44"/>
    <x v="0"/>
    <x v="0"/>
    <x v="4"/>
    <x v="44"/>
    <x v="44"/>
    <x v="22"/>
    <x v="22"/>
    <x v="22"/>
    <x v="22"/>
    <x v="9"/>
    <x v="217"/>
    <x v="150"/>
    <x v="72"/>
    <x v="298"/>
    <x v="83"/>
    <x v="277"/>
    <x v="0"/>
    <x v="26"/>
  </r>
  <r>
    <x v="44"/>
    <x v="0"/>
    <x v="0"/>
    <x v="4"/>
    <x v="44"/>
    <x v="44"/>
    <x v="1"/>
    <x v="1"/>
    <x v="1"/>
    <x v="1"/>
    <x v="11"/>
    <x v="218"/>
    <x v="141"/>
    <x v="195"/>
    <x v="374"/>
    <x v="56"/>
    <x v="13"/>
    <x v="0"/>
    <x v="26"/>
  </r>
  <r>
    <x v="44"/>
    <x v="0"/>
    <x v="0"/>
    <x v="4"/>
    <x v="44"/>
    <x v="44"/>
    <x v="41"/>
    <x v="41"/>
    <x v="41"/>
    <x v="41"/>
    <x v="11"/>
    <x v="218"/>
    <x v="141"/>
    <x v="54"/>
    <x v="453"/>
    <x v="65"/>
    <x v="275"/>
    <x v="0"/>
    <x v="26"/>
  </r>
  <r>
    <x v="44"/>
    <x v="0"/>
    <x v="0"/>
    <x v="4"/>
    <x v="44"/>
    <x v="44"/>
    <x v="42"/>
    <x v="42"/>
    <x v="42"/>
    <x v="42"/>
    <x v="13"/>
    <x v="238"/>
    <x v="51"/>
    <x v="187"/>
    <x v="455"/>
    <x v="59"/>
    <x v="100"/>
    <x v="0"/>
    <x v="26"/>
  </r>
  <r>
    <x v="44"/>
    <x v="0"/>
    <x v="0"/>
    <x v="4"/>
    <x v="44"/>
    <x v="44"/>
    <x v="57"/>
    <x v="57"/>
    <x v="57"/>
    <x v="57"/>
    <x v="13"/>
    <x v="238"/>
    <x v="51"/>
    <x v="72"/>
    <x v="298"/>
    <x v="60"/>
    <x v="343"/>
    <x v="0"/>
    <x v="26"/>
  </r>
  <r>
    <x v="44"/>
    <x v="0"/>
    <x v="0"/>
    <x v="4"/>
    <x v="44"/>
    <x v="44"/>
    <x v="26"/>
    <x v="26"/>
    <x v="26"/>
    <x v="26"/>
    <x v="13"/>
    <x v="238"/>
    <x v="51"/>
    <x v="72"/>
    <x v="298"/>
    <x v="60"/>
    <x v="343"/>
    <x v="0"/>
    <x v="26"/>
  </r>
  <r>
    <x v="44"/>
    <x v="0"/>
    <x v="0"/>
    <x v="4"/>
    <x v="44"/>
    <x v="44"/>
    <x v="14"/>
    <x v="14"/>
    <x v="14"/>
    <x v="14"/>
    <x v="13"/>
    <x v="238"/>
    <x v="51"/>
    <x v="187"/>
    <x v="455"/>
    <x v="59"/>
    <x v="100"/>
    <x v="0"/>
    <x v="26"/>
  </r>
  <r>
    <x v="44"/>
    <x v="0"/>
    <x v="0"/>
    <x v="4"/>
    <x v="44"/>
    <x v="44"/>
    <x v="16"/>
    <x v="16"/>
    <x v="16"/>
    <x v="16"/>
    <x v="13"/>
    <x v="238"/>
    <x v="51"/>
    <x v="195"/>
    <x v="374"/>
    <x v="65"/>
    <x v="275"/>
    <x v="0"/>
    <x v="26"/>
  </r>
  <r>
    <x v="44"/>
    <x v="0"/>
    <x v="0"/>
    <x v="4"/>
    <x v="44"/>
    <x v="44"/>
    <x v="18"/>
    <x v="18"/>
    <x v="18"/>
    <x v="18"/>
    <x v="18"/>
    <x v="239"/>
    <x v="133"/>
    <x v="150"/>
    <x v="456"/>
    <x v="85"/>
    <x v="175"/>
    <x v="0"/>
    <x v="26"/>
  </r>
  <r>
    <x v="44"/>
    <x v="0"/>
    <x v="0"/>
    <x v="4"/>
    <x v="44"/>
    <x v="44"/>
    <x v="7"/>
    <x v="7"/>
    <x v="7"/>
    <x v="7"/>
    <x v="18"/>
    <x v="239"/>
    <x v="133"/>
    <x v="195"/>
    <x v="374"/>
    <x v="55"/>
    <x v="112"/>
    <x v="0"/>
    <x v="26"/>
  </r>
  <r>
    <x v="45"/>
    <x v="0"/>
    <x v="0"/>
    <x v="4"/>
    <x v="45"/>
    <x v="45"/>
    <x v="10"/>
    <x v="10"/>
    <x v="10"/>
    <x v="10"/>
    <x v="0"/>
    <x v="203"/>
    <x v="310"/>
    <x v="56"/>
    <x v="372"/>
    <x v="71"/>
    <x v="344"/>
    <x v="0"/>
    <x v="0"/>
  </r>
  <r>
    <x v="45"/>
    <x v="0"/>
    <x v="0"/>
    <x v="4"/>
    <x v="45"/>
    <x v="45"/>
    <x v="2"/>
    <x v="2"/>
    <x v="2"/>
    <x v="2"/>
    <x v="1"/>
    <x v="214"/>
    <x v="288"/>
    <x v="114"/>
    <x v="141"/>
    <x v="61"/>
    <x v="62"/>
    <x v="0"/>
    <x v="0"/>
  </r>
  <r>
    <x v="45"/>
    <x v="0"/>
    <x v="0"/>
    <x v="4"/>
    <x v="45"/>
    <x v="45"/>
    <x v="41"/>
    <x v="41"/>
    <x v="41"/>
    <x v="41"/>
    <x v="1"/>
    <x v="214"/>
    <x v="288"/>
    <x v="107"/>
    <x v="457"/>
    <x v="55"/>
    <x v="98"/>
    <x v="0"/>
    <x v="0"/>
  </r>
  <r>
    <x v="45"/>
    <x v="0"/>
    <x v="0"/>
    <x v="4"/>
    <x v="45"/>
    <x v="45"/>
    <x v="59"/>
    <x v="59"/>
    <x v="59"/>
    <x v="59"/>
    <x v="3"/>
    <x v="234"/>
    <x v="311"/>
    <x v="151"/>
    <x v="318"/>
    <x v="55"/>
    <x v="98"/>
    <x v="0"/>
    <x v="0"/>
  </r>
  <r>
    <x v="45"/>
    <x v="0"/>
    <x v="0"/>
    <x v="4"/>
    <x v="45"/>
    <x v="45"/>
    <x v="5"/>
    <x v="5"/>
    <x v="5"/>
    <x v="5"/>
    <x v="3"/>
    <x v="234"/>
    <x v="311"/>
    <x v="107"/>
    <x v="457"/>
    <x v="61"/>
    <x v="62"/>
    <x v="0"/>
    <x v="0"/>
  </r>
  <r>
    <x v="45"/>
    <x v="0"/>
    <x v="0"/>
    <x v="4"/>
    <x v="45"/>
    <x v="45"/>
    <x v="0"/>
    <x v="0"/>
    <x v="0"/>
    <x v="0"/>
    <x v="5"/>
    <x v="235"/>
    <x v="21"/>
    <x v="151"/>
    <x v="318"/>
    <x v="61"/>
    <x v="62"/>
    <x v="0"/>
    <x v="0"/>
  </r>
  <r>
    <x v="45"/>
    <x v="0"/>
    <x v="0"/>
    <x v="4"/>
    <x v="45"/>
    <x v="45"/>
    <x v="6"/>
    <x v="6"/>
    <x v="6"/>
    <x v="6"/>
    <x v="6"/>
    <x v="216"/>
    <x v="102"/>
    <x v="89"/>
    <x v="158"/>
    <x v="61"/>
    <x v="62"/>
    <x v="0"/>
    <x v="0"/>
  </r>
  <r>
    <x v="45"/>
    <x v="0"/>
    <x v="0"/>
    <x v="4"/>
    <x v="45"/>
    <x v="45"/>
    <x v="64"/>
    <x v="64"/>
    <x v="64"/>
    <x v="64"/>
    <x v="7"/>
    <x v="217"/>
    <x v="166"/>
    <x v="91"/>
    <x v="458"/>
    <x v="61"/>
    <x v="62"/>
    <x v="0"/>
    <x v="0"/>
  </r>
  <r>
    <x v="45"/>
    <x v="0"/>
    <x v="0"/>
    <x v="4"/>
    <x v="45"/>
    <x v="45"/>
    <x v="12"/>
    <x v="12"/>
    <x v="12"/>
    <x v="12"/>
    <x v="7"/>
    <x v="217"/>
    <x v="166"/>
    <x v="133"/>
    <x v="459"/>
    <x v="74"/>
    <x v="345"/>
    <x v="5"/>
    <x v="14"/>
  </r>
  <r>
    <x v="45"/>
    <x v="0"/>
    <x v="0"/>
    <x v="4"/>
    <x v="45"/>
    <x v="45"/>
    <x v="7"/>
    <x v="7"/>
    <x v="7"/>
    <x v="7"/>
    <x v="7"/>
    <x v="217"/>
    <x v="166"/>
    <x v="91"/>
    <x v="458"/>
    <x v="61"/>
    <x v="62"/>
    <x v="0"/>
    <x v="0"/>
  </r>
  <r>
    <x v="45"/>
    <x v="0"/>
    <x v="0"/>
    <x v="4"/>
    <x v="45"/>
    <x v="45"/>
    <x v="4"/>
    <x v="4"/>
    <x v="4"/>
    <x v="4"/>
    <x v="10"/>
    <x v="218"/>
    <x v="46"/>
    <x v="54"/>
    <x v="295"/>
    <x v="65"/>
    <x v="202"/>
    <x v="0"/>
    <x v="0"/>
  </r>
  <r>
    <x v="45"/>
    <x v="0"/>
    <x v="0"/>
    <x v="4"/>
    <x v="45"/>
    <x v="45"/>
    <x v="13"/>
    <x v="13"/>
    <x v="13"/>
    <x v="13"/>
    <x v="11"/>
    <x v="238"/>
    <x v="107"/>
    <x v="54"/>
    <x v="295"/>
    <x v="55"/>
    <x v="98"/>
    <x v="0"/>
    <x v="0"/>
  </r>
  <r>
    <x v="45"/>
    <x v="0"/>
    <x v="0"/>
    <x v="4"/>
    <x v="45"/>
    <x v="45"/>
    <x v="19"/>
    <x v="19"/>
    <x v="19"/>
    <x v="19"/>
    <x v="12"/>
    <x v="239"/>
    <x v="27"/>
    <x v="195"/>
    <x v="248"/>
    <x v="55"/>
    <x v="98"/>
    <x v="0"/>
    <x v="0"/>
  </r>
  <r>
    <x v="45"/>
    <x v="0"/>
    <x v="0"/>
    <x v="4"/>
    <x v="45"/>
    <x v="45"/>
    <x v="66"/>
    <x v="66"/>
    <x v="66"/>
    <x v="66"/>
    <x v="12"/>
    <x v="239"/>
    <x v="27"/>
    <x v="116"/>
    <x v="12"/>
    <x v="56"/>
    <x v="346"/>
    <x v="0"/>
    <x v="0"/>
  </r>
  <r>
    <x v="45"/>
    <x v="0"/>
    <x v="0"/>
    <x v="4"/>
    <x v="45"/>
    <x v="45"/>
    <x v="35"/>
    <x v="35"/>
    <x v="35"/>
    <x v="35"/>
    <x v="14"/>
    <x v="240"/>
    <x v="69"/>
    <x v="133"/>
    <x v="459"/>
    <x v="55"/>
    <x v="98"/>
    <x v="0"/>
    <x v="0"/>
  </r>
  <r>
    <x v="45"/>
    <x v="0"/>
    <x v="0"/>
    <x v="4"/>
    <x v="45"/>
    <x v="45"/>
    <x v="26"/>
    <x v="26"/>
    <x v="26"/>
    <x v="26"/>
    <x v="14"/>
    <x v="240"/>
    <x v="69"/>
    <x v="187"/>
    <x v="120"/>
    <x v="56"/>
    <x v="346"/>
    <x v="0"/>
    <x v="0"/>
  </r>
  <r>
    <x v="45"/>
    <x v="0"/>
    <x v="0"/>
    <x v="4"/>
    <x v="45"/>
    <x v="45"/>
    <x v="46"/>
    <x v="46"/>
    <x v="46"/>
    <x v="46"/>
    <x v="14"/>
    <x v="240"/>
    <x v="69"/>
    <x v="133"/>
    <x v="459"/>
    <x v="61"/>
    <x v="62"/>
    <x v="5"/>
    <x v="14"/>
  </r>
  <r>
    <x v="45"/>
    <x v="0"/>
    <x v="0"/>
    <x v="4"/>
    <x v="45"/>
    <x v="45"/>
    <x v="42"/>
    <x v="42"/>
    <x v="42"/>
    <x v="42"/>
    <x v="17"/>
    <x v="241"/>
    <x v="111"/>
    <x v="187"/>
    <x v="120"/>
    <x v="65"/>
    <x v="202"/>
    <x v="0"/>
    <x v="0"/>
  </r>
  <r>
    <x v="45"/>
    <x v="0"/>
    <x v="0"/>
    <x v="4"/>
    <x v="45"/>
    <x v="45"/>
    <x v="11"/>
    <x v="11"/>
    <x v="11"/>
    <x v="11"/>
    <x v="17"/>
    <x v="241"/>
    <x v="111"/>
    <x v="133"/>
    <x v="459"/>
    <x v="61"/>
    <x v="62"/>
    <x v="0"/>
    <x v="0"/>
  </r>
  <r>
    <x v="45"/>
    <x v="0"/>
    <x v="0"/>
    <x v="4"/>
    <x v="45"/>
    <x v="45"/>
    <x v="29"/>
    <x v="29"/>
    <x v="29"/>
    <x v="29"/>
    <x v="17"/>
    <x v="241"/>
    <x v="111"/>
    <x v="133"/>
    <x v="459"/>
    <x v="61"/>
    <x v="62"/>
    <x v="0"/>
    <x v="0"/>
  </r>
  <r>
    <x v="45"/>
    <x v="0"/>
    <x v="0"/>
    <x v="4"/>
    <x v="45"/>
    <x v="45"/>
    <x v="25"/>
    <x v="25"/>
    <x v="25"/>
    <x v="25"/>
    <x v="17"/>
    <x v="241"/>
    <x v="111"/>
    <x v="187"/>
    <x v="120"/>
    <x v="65"/>
    <x v="202"/>
    <x v="0"/>
    <x v="0"/>
  </r>
  <r>
    <x v="45"/>
    <x v="0"/>
    <x v="0"/>
    <x v="4"/>
    <x v="45"/>
    <x v="45"/>
    <x v="14"/>
    <x v="14"/>
    <x v="14"/>
    <x v="14"/>
    <x v="17"/>
    <x v="241"/>
    <x v="111"/>
    <x v="187"/>
    <x v="120"/>
    <x v="65"/>
    <x v="202"/>
    <x v="0"/>
    <x v="0"/>
  </r>
  <r>
    <x v="46"/>
    <x v="0"/>
    <x v="0"/>
    <x v="4"/>
    <x v="46"/>
    <x v="46"/>
    <x v="0"/>
    <x v="0"/>
    <x v="0"/>
    <x v="0"/>
    <x v="0"/>
    <x v="56"/>
    <x v="312"/>
    <x v="196"/>
    <x v="460"/>
    <x v="56"/>
    <x v="12"/>
    <x v="0"/>
    <x v="0"/>
  </r>
  <r>
    <x v="46"/>
    <x v="0"/>
    <x v="0"/>
    <x v="4"/>
    <x v="46"/>
    <x v="46"/>
    <x v="5"/>
    <x v="5"/>
    <x v="5"/>
    <x v="5"/>
    <x v="1"/>
    <x v="73"/>
    <x v="313"/>
    <x v="201"/>
    <x v="461"/>
    <x v="55"/>
    <x v="205"/>
    <x v="0"/>
    <x v="0"/>
  </r>
  <r>
    <x v="46"/>
    <x v="0"/>
    <x v="0"/>
    <x v="4"/>
    <x v="46"/>
    <x v="46"/>
    <x v="1"/>
    <x v="1"/>
    <x v="1"/>
    <x v="1"/>
    <x v="2"/>
    <x v="208"/>
    <x v="314"/>
    <x v="57"/>
    <x v="462"/>
    <x v="59"/>
    <x v="54"/>
    <x v="0"/>
    <x v="0"/>
  </r>
  <r>
    <x v="46"/>
    <x v="0"/>
    <x v="0"/>
    <x v="4"/>
    <x v="46"/>
    <x v="46"/>
    <x v="10"/>
    <x v="10"/>
    <x v="10"/>
    <x v="10"/>
    <x v="3"/>
    <x v="204"/>
    <x v="62"/>
    <x v="89"/>
    <x v="453"/>
    <x v="44"/>
    <x v="347"/>
    <x v="0"/>
    <x v="0"/>
  </r>
  <r>
    <x v="46"/>
    <x v="0"/>
    <x v="0"/>
    <x v="4"/>
    <x v="46"/>
    <x v="46"/>
    <x v="2"/>
    <x v="2"/>
    <x v="2"/>
    <x v="2"/>
    <x v="3"/>
    <x v="204"/>
    <x v="62"/>
    <x v="120"/>
    <x v="79"/>
    <x v="61"/>
    <x v="62"/>
    <x v="0"/>
    <x v="0"/>
  </r>
  <r>
    <x v="46"/>
    <x v="0"/>
    <x v="0"/>
    <x v="4"/>
    <x v="46"/>
    <x v="46"/>
    <x v="35"/>
    <x v="35"/>
    <x v="35"/>
    <x v="35"/>
    <x v="5"/>
    <x v="226"/>
    <x v="23"/>
    <x v="56"/>
    <x v="410"/>
    <x v="79"/>
    <x v="348"/>
    <x v="0"/>
    <x v="0"/>
  </r>
  <r>
    <x v="46"/>
    <x v="0"/>
    <x v="0"/>
    <x v="4"/>
    <x v="46"/>
    <x v="46"/>
    <x v="13"/>
    <x v="13"/>
    <x v="13"/>
    <x v="13"/>
    <x v="6"/>
    <x v="228"/>
    <x v="90"/>
    <x v="114"/>
    <x v="463"/>
    <x v="74"/>
    <x v="63"/>
    <x v="0"/>
    <x v="0"/>
  </r>
  <r>
    <x v="46"/>
    <x v="0"/>
    <x v="0"/>
    <x v="4"/>
    <x v="46"/>
    <x v="46"/>
    <x v="6"/>
    <x v="6"/>
    <x v="6"/>
    <x v="6"/>
    <x v="7"/>
    <x v="212"/>
    <x v="25"/>
    <x v="90"/>
    <x v="243"/>
    <x v="55"/>
    <x v="205"/>
    <x v="0"/>
    <x v="0"/>
  </r>
  <r>
    <x v="46"/>
    <x v="0"/>
    <x v="0"/>
    <x v="4"/>
    <x v="46"/>
    <x v="46"/>
    <x v="4"/>
    <x v="4"/>
    <x v="4"/>
    <x v="4"/>
    <x v="8"/>
    <x v="213"/>
    <x v="148"/>
    <x v="151"/>
    <x v="391"/>
    <x v="74"/>
    <x v="63"/>
    <x v="0"/>
    <x v="0"/>
  </r>
  <r>
    <x v="46"/>
    <x v="0"/>
    <x v="0"/>
    <x v="4"/>
    <x v="46"/>
    <x v="46"/>
    <x v="16"/>
    <x v="16"/>
    <x v="16"/>
    <x v="16"/>
    <x v="9"/>
    <x v="229"/>
    <x v="78"/>
    <x v="151"/>
    <x v="391"/>
    <x v="56"/>
    <x v="12"/>
    <x v="0"/>
    <x v="0"/>
  </r>
  <r>
    <x v="46"/>
    <x v="0"/>
    <x v="0"/>
    <x v="4"/>
    <x v="46"/>
    <x v="46"/>
    <x v="19"/>
    <x v="19"/>
    <x v="19"/>
    <x v="19"/>
    <x v="10"/>
    <x v="214"/>
    <x v="270"/>
    <x v="195"/>
    <x v="422"/>
    <x v="75"/>
    <x v="349"/>
    <x v="0"/>
    <x v="0"/>
  </r>
  <r>
    <x v="46"/>
    <x v="0"/>
    <x v="0"/>
    <x v="4"/>
    <x v="46"/>
    <x v="46"/>
    <x v="9"/>
    <x v="9"/>
    <x v="9"/>
    <x v="9"/>
    <x v="10"/>
    <x v="214"/>
    <x v="270"/>
    <x v="114"/>
    <x v="463"/>
    <x v="61"/>
    <x v="62"/>
    <x v="0"/>
    <x v="0"/>
  </r>
  <r>
    <x v="46"/>
    <x v="0"/>
    <x v="0"/>
    <x v="4"/>
    <x v="46"/>
    <x v="46"/>
    <x v="42"/>
    <x v="42"/>
    <x v="42"/>
    <x v="42"/>
    <x v="12"/>
    <x v="234"/>
    <x v="223"/>
    <x v="195"/>
    <x v="422"/>
    <x v="83"/>
    <x v="350"/>
    <x v="0"/>
    <x v="0"/>
  </r>
  <r>
    <x v="46"/>
    <x v="0"/>
    <x v="0"/>
    <x v="4"/>
    <x v="46"/>
    <x v="46"/>
    <x v="17"/>
    <x v="17"/>
    <x v="17"/>
    <x v="17"/>
    <x v="13"/>
    <x v="235"/>
    <x v="232"/>
    <x v="187"/>
    <x v="38"/>
    <x v="79"/>
    <x v="348"/>
    <x v="0"/>
    <x v="0"/>
  </r>
  <r>
    <x v="46"/>
    <x v="0"/>
    <x v="0"/>
    <x v="4"/>
    <x v="46"/>
    <x v="46"/>
    <x v="29"/>
    <x v="29"/>
    <x v="29"/>
    <x v="29"/>
    <x v="14"/>
    <x v="216"/>
    <x v="52"/>
    <x v="91"/>
    <x v="378"/>
    <x v="55"/>
    <x v="205"/>
    <x v="0"/>
    <x v="0"/>
  </r>
  <r>
    <x v="46"/>
    <x v="0"/>
    <x v="0"/>
    <x v="4"/>
    <x v="46"/>
    <x v="46"/>
    <x v="3"/>
    <x v="3"/>
    <x v="3"/>
    <x v="3"/>
    <x v="14"/>
    <x v="216"/>
    <x v="52"/>
    <x v="89"/>
    <x v="453"/>
    <x v="61"/>
    <x v="62"/>
    <x v="0"/>
    <x v="0"/>
  </r>
  <r>
    <x v="46"/>
    <x v="0"/>
    <x v="0"/>
    <x v="4"/>
    <x v="46"/>
    <x v="46"/>
    <x v="22"/>
    <x v="22"/>
    <x v="22"/>
    <x v="22"/>
    <x v="16"/>
    <x v="217"/>
    <x v="133"/>
    <x v="116"/>
    <x v="124"/>
    <x v="60"/>
    <x v="97"/>
    <x v="0"/>
    <x v="0"/>
  </r>
  <r>
    <x v="46"/>
    <x v="0"/>
    <x v="0"/>
    <x v="4"/>
    <x v="46"/>
    <x v="46"/>
    <x v="8"/>
    <x v="8"/>
    <x v="8"/>
    <x v="8"/>
    <x v="16"/>
    <x v="217"/>
    <x v="133"/>
    <x v="74"/>
    <x v="121"/>
    <x v="55"/>
    <x v="205"/>
    <x v="0"/>
    <x v="0"/>
  </r>
  <r>
    <x v="46"/>
    <x v="0"/>
    <x v="0"/>
    <x v="4"/>
    <x v="46"/>
    <x v="46"/>
    <x v="41"/>
    <x v="41"/>
    <x v="41"/>
    <x v="41"/>
    <x v="16"/>
    <x v="217"/>
    <x v="133"/>
    <x v="54"/>
    <x v="305"/>
    <x v="56"/>
    <x v="12"/>
    <x v="0"/>
    <x v="0"/>
  </r>
  <r>
    <x v="46"/>
    <x v="0"/>
    <x v="0"/>
    <x v="4"/>
    <x v="46"/>
    <x v="46"/>
    <x v="7"/>
    <x v="7"/>
    <x v="7"/>
    <x v="7"/>
    <x v="19"/>
    <x v="218"/>
    <x v="15"/>
    <x v="118"/>
    <x v="215"/>
    <x v="55"/>
    <x v="205"/>
    <x v="0"/>
    <x v="0"/>
  </r>
  <r>
    <x v="47"/>
    <x v="0"/>
    <x v="0"/>
    <x v="4"/>
    <x v="47"/>
    <x v="47"/>
    <x v="10"/>
    <x v="10"/>
    <x v="10"/>
    <x v="10"/>
    <x v="0"/>
    <x v="204"/>
    <x v="315"/>
    <x v="187"/>
    <x v="73"/>
    <x v="103"/>
    <x v="351"/>
    <x v="0"/>
    <x v="0"/>
  </r>
  <r>
    <x v="47"/>
    <x v="0"/>
    <x v="0"/>
    <x v="4"/>
    <x v="47"/>
    <x v="47"/>
    <x v="2"/>
    <x v="2"/>
    <x v="2"/>
    <x v="2"/>
    <x v="1"/>
    <x v="213"/>
    <x v="297"/>
    <x v="90"/>
    <x v="464"/>
    <x v="61"/>
    <x v="62"/>
    <x v="0"/>
    <x v="0"/>
  </r>
  <r>
    <x v="47"/>
    <x v="0"/>
    <x v="0"/>
    <x v="4"/>
    <x v="47"/>
    <x v="47"/>
    <x v="23"/>
    <x v="23"/>
    <x v="23"/>
    <x v="23"/>
    <x v="2"/>
    <x v="234"/>
    <x v="183"/>
    <x v="107"/>
    <x v="219"/>
    <x v="61"/>
    <x v="62"/>
    <x v="0"/>
    <x v="0"/>
  </r>
  <r>
    <x v="47"/>
    <x v="0"/>
    <x v="0"/>
    <x v="4"/>
    <x v="47"/>
    <x v="47"/>
    <x v="0"/>
    <x v="0"/>
    <x v="0"/>
    <x v="0"/>
    <x v="2"/>
    <x v="234"/>
    <x v="183"/>
    <x v="56"/>
    <x v="465"/>
    <x v="65"/>
    <x v="165"/>
    <x v="0"/>
    <x v="0"/>
  </r>
  <r>
    <x v="47"/>
    <x v="0"/>
    <x v="0"/>
    <x v="4"/>
    <x v="47"/>
    <x v="47"/>
    <x v="19"/>
    <x v="19"/>
    <x v="19"/>
    <x v="19"/>
    <x v="4"/>
    <x v="235"/>
    <x v="61"/>
    <x v="118"/>
    <x v="438"/>
    <x v="59"/>
    <x v="352"/>
    <x v="0"/>
    <x v="0"/>
  </r>
  <r>
    <x v="47"/>
    <x v="0"/>
    <x v="0"/>
    <x v="4"/>
    <x v="47"/>
    <x v="47"/>
    <x v="4"/>
    <x v="4"/>
    <x v="4"/>
    <x v="4"/>
    <x v="4"/>
    <x v="235"/>
    <x v="61"/>
    <x v="89"/>
    <x v="466"/>
    <x v="55"/>
    <x v="82"/>
    <x v="5"/>
    <x v="28"/>
  </r>
  <r>
    <x v="47"/>
    <x v="0"/>
    <x v="0"/>
    <x v="4"/>
    <x v="47"/>
    <x v="47"/>
    <x v="6"/>
    <x v="6"/>
    <x v="6"/>
    <x v="6"/>
    <x v="4"/>
    <x v="235"/>
    <x v="61"/>
    <x v="151"/>
    <x v="467"/>
    <x v="61"/>
    <x v="62"/>
    <x v="0"/>
    <x v="0"/>
  </r>
  <r>
    <x v="47"/>
    <x v="0"/>
    <x v="0"/>
    <x v="4"/>
    <x v="47"/>
    <x v="47"/>
    <x v="1"/>
    <x v="1"/>
    <x v="1"/>
    <x v="1"/>
    <x v="7"/>
    <x v="217"/>
    <x v="90"/>
    <x v="91"/>
    <x v="468"/>
    <x v="61"/>
    <x v="62"/>
    <x v="0"/>
    <x v="0"/>
  </r>
  <r>
    <x v="47"/>
    <x v="0"/>
    <x v="0"/>
    <x v="4"/>
    <x v="47"/>
    <x v="47"/>
    <x v="16"/>
    <x v="16"/>
    <x v="16"/>
    <x v="16"/>
    <x v="7"/>
    <x v="217"/>
    <x v="90"/>
    <x v="74"/>
    <x v="469"/>
    <x v="55"/>
    <x v="82"/>
    <x v="0"/>
    <x v="0"/>
  </r>
  <r>
    <x v="47"/>
    <x v="0"/>
    <x v="0"/>
    <x v="4"/>
    <x v="47"/>
    <x v="47"/>
    <x v="5"/>
    <x v="5"/>
    <x v="5"/>
    <x v="5"/>
    <x v="7"/>
    <x v="217"/>
    <x v="90"/>
    <x v="91"/>
    <x v="468"/>
    <x v="61"/>
    <x v="62"/>
    <x v="0"/>
    <x v="0"/>
  </r>
  <r>
    <x v="47"/>
    <x v="0"/>
    <x v="0"/>
    <x v="4"/>
    <x v="47"/>
    <x v="47"/>
    <x v="14"/>
    <x v="14"/>
    <x v="14"/>
    <x v="14"/>
    <x v="10"/>
    <x v="218"/>
    <x v="208"/>
    <x v="187"/>
    <x v="73"/>
    <x v="60"/>
    <x v="353"/>
    <x v="0"/>
    <x v="0"/>
  </r>
  <r>
    <x v="47"/>
    <x v="0"/>
    <x v="0"/>
    <x v="4"/>
    <x v="47"/>
    <x v="47"/>
    <x v="9"/>
    <x v="9"/>
    <x v="9"/>
    <x v="9"/>
    <x v="10"/>
    <x v="218"/>
    <x v="208"/>
    <x v="74"/>
    <x v="469"/>
    <x v="61"/>
    <x v="62"/>
    <x v="0"/>
    <x v="0"/>
  </r>
  <r>
    <x v="47"/>
    <x v="0"/>
    <x v="0"/>
    <x v="4"/>
    <x v="47"/>
    <x v="47"/>
    <x v="17"/>
    <x v="17"/>
    <x v="17"/>
    <x v="17"/>
    <x v="12"/>
    <x v="239"/>
    <x v="291"/>
    <x v="187"/>
    <x v="73"/>
    <x v="74"/>
    <x v="354"/>
    <x v="0"/>
    <x v="0"/>
  </r>
  <r>
    <x v="47"/>
    <x v="0"/>
    <x v="0"/>
    <x v="4"/>
    <x v="47"/>
    <x v="47"/>
    <x v="42"/>
    <x v="42"/>
    <x v="42"/>
    <x v="42"/>
    <x v="12"/>
    <x v="239"/>
    <x v="291"/>
    <x v="133"/>
    <x v="378"/>
    <x v="65"/>
    <x v="165"/>
    <x v="0"/>
    <x v="0"/>
  </r>
  <r>
    <x v="47"/>
    <x v="0"/>
    <x v="0"/>
    <x v="4"/>
    <x v="47"/>
    <x v="47"/>
    <x v="29"/>
    <x v="29"/>
    <x v="29"/>
    <x v="29"/>
    <x v="12"/>
    <x v="239"/>
    <x v="291"/>
    <x v="195"/>
    <x v="303"/>
    <x v="55"/>
    <x v="82"/>
    <x v="0"/>
    <x v="0"/>
  </r>
  <r>
    <x v="47"/>
    <x v="0"/>
    <x v="0"/>
    <x v="4"/>
    <x v="47"/>
    <x v="47"/>
    <x v="12"/>
    <x v="12"/>
    <x v="12"/>
    <x v="12"/>
    <x v="12"/>
    <x v="239"/>
    <x v="291"/>
    <x v="133"/>
    <x v="378"/>
    <x v="65"/>
    <x v="165"/>
    <x v="0"/>
    <x v="0"/>
  </r>
  <r>
    <x v="47"/>
    <x v="0"/>
    <x v="0"/>
    <x v="4"/>
    <x v="47"/>
    <x v="47"/>
    <x v="35"/>
    <x v="35"/>
    <x v="35"/>
    <x v="35"/>
    <x v="16"/>
    <x v="241"/>
    <x v="160"/>
    <x v="187"/>
    <x v="73"/>
    <x v="65"/>
    <x v="165"/>
    <x v="0"/>
    <x v="0"/>
  </r>
  <r>
    <x v="47"/>
    <x v="0"/>
    <x v="0"/>
    <x v="4"/>
    <x v="47"/>
    <x v="47"/>
    <x v="13"/>
    <x v="13"/>
    <x v="13"/>
    <x v="13"/>
    <x v="16"/>
    <x v="241"/>
    <x v="160"/>
    <x v="116"/>
    <x v="137"/>
    <x v="55"/>
    <x v="82"/>
    <x v="0"/>
    <x v="0"/>
  </r>
  <r>
    <x v="47"/>
    <x v="0"/>
    <x v="0"/>
    <x v="4"/>
    <x v="47"/>
    <x v="47"/>
    <x v="21"/>
    <x v="21"/>
    <x v="21"/>
    <x v="21"/>
    <x v="16"/>
    <x v="241"/>
    <x v="160"/>
    <x v="133"/>
    <x v="378"/>
    <x v="61"/>
    <x v="62"/>
    <x v="0"/>
    <x v="0"/>
  </r>
  <r>
    <x v="47"/>
    <x v="0"/>
    <x v="0"/>
    <x v="4"/>
    <x v="47"/>
    <x v="47"/>
    <x v="82"/>
    <x v="82"/>
    <x v="82"/>
    <x v="82"/>
    <x v="16"/>
    <x v="241"/>
    <x v="160"/>
    <x v="133"/>
    <x v="378"/>
    <x v="61"/>
    <x v="62"/>
    <x v="0"/>
    <x v="0"/>
  </r>
  <r>
    <x v="48"/>
    <x v="0"/>
    <x v="0"/>
    <x v="4"/>
    <x v="48"/>
    <x v="48"/>
    <x v="10"/>
    <x v="10"/>
    <x v="10"/>
    <x v="10"/>
    <x v="0"/>
    <x v="107"/>
    <x v="316"/>
    <x v="89"/>
    <x v="103"/>
    <x v="20"/>
    <x v="355"/>
    <x v="0"/>
    <x v="0"/>
  </r>
  <r>
    <x v="48"/>
    <x v="0"/>
    <x v="0"/>
    <x v="4"/>
    <x v="48"/>
    <x v="48"/>
    <x v="0"/>
    <x v="0"/>
    <x v="0"/>
    <x v="0"/>
    <x v="1"/>
    <x v="114"/>
    <x v="317"/>
    <x v="75"/>
    <x v="109"/>
    <x v="61"/>
    <x v="62"/>
    <x v="0"/>
    <x v="0"/>
  </r>
  <r>
    <x v="48"/>
    <x v="0"/>
    <x v="0"/>
    <x v="4"/>
    <x v="48"/>
    <x v="48"/>
    <x v="6"/>
    <x v="6"/>
    <x v="6"/>
    <x v="6"/>
    <x v="2"/>
    <x v="226"/>
    <x v="318"/>
    <x v="179"/>
    <x v="470"/>
    <x v="61"/>
    <x v="62"/>
    <x v="0"/>
    <x v="0"/>
  </r>
  <r>
    <x v="48"/>
    <x v="0"/>
    <x v="0"/>
    <x v="4"/>
    <x v="48"/>
    <x v="48"/>
    <x v="42"/>
    <x v="42"/>
    <x v="42"/>
    <x v="42"/>
    <x v="3"/>
    <x v="228"/>
    <x v="319"/>
    <x v="93"/>
    <x v="347"/>
    <x v="56"/>
    <x v="157"/>
    <x v="0"/>
    <x v="0"/>
  </r>
  <r>
    <x v="48"/>
    <x v="0"/>
    <x v="0"/>
    <x v="4"/>
    <x v="48"/>
    <x v="48"/>
    <x v="2"/>
    <x v="2"/>
    <x v="2"/>
    <x v="2"/>
    <x v="4"/>
    <x v="214"/>
    <x v="207"/>
    <x v="114"/>
    <x v="264"/>
    <x v="61"/>
    <x v="62"/>
    <x v="0"/>
    <x v="0"/>
  </r>
  <r>
    <x v="48"/>
    <x v="0"/>
    <x v="0"/>
    <x v="4"/>
    <x v="48"/>
    <x v="48"/>
    <x v="19"/>
    <x v="19"/>
    <x v="19"/>
    <x v="19"/>
    <x v="5"/>
    <x v="234"/>
    <x v="118"/>
    <x v="56"/>
    <x v="471"/>
    <x v="65"/>
    <x v="144"/>
    <x v="0"/>
    <x v="0"/>
  </r>
  <r>
    <x v="48"/>
    <x v="0"/>
    <x v="0"/>
    <x v="4"/>
    <x v="48"/>
    <x v="48"/>
    <x v="13"/>
    <x v="13"/>
    <x v="13"/>
    <x v="13"/>
    <x v="5"/>
    <x v="234"/>
    <x v="118"/>
    <x v="56"/>
    <x v="471"/>
    <x v="65"/>
    <x v="144"/>
    <x v="0"/>
    <x v="0"/>
  </r>
  <r>
    <x v="48"/>
    <x v="0"/>
    <x v="0"/>
    <x v="4"/>
    <x v="48"/>
    <x v="48"/>
    <x v="4"/>
    <x v="4"/>
    <x v="4"/>
    <x v="4"/>
    <x v="7"/>
    <x v="215"/>
    <x v="320"/>
    <x v="89"/>
    <x v="103"/>
    <x v="55"/>
    <x v="117"/>
    <x v="0"/>
    <x v="0"/>
  </r>
  <r>
    <x v="48"/>
    <x v="0"/>
    <x v="0"/>
    <x v="4"/>
    <x v="48"/>
    <x v="48"/>
    <x v="41"/>
    <x v="41"/>
    <x v="41"/>
    <x v="41"/>
    <x v="7"/>
    <x v="215"/>
    <x v="320"/>
    <x v="91"/>
    <x v="152"/>
    <x v="65"/>
    <x v="144"/>
    <x v="0"/>
    <x v="0"/>
  </r>
  <r>
    <x v="48"/>
    <x v="0"/>
    <x v="0"/>
    <x v="4"/>
    <x v="48"/>
    <x v="48"/>
    <x v="69"/>
    <x v="69"/>
    <x v="69"/>
    <x v="69"/>
    <x v="9"/>
    <x v="216"/>
    <x v="169"/>
    <x v="116"/>
    <x v="240"/>
    <x v="60"/>
    <x v="356"/>
    <x v="5"/>
    <x v="28"/>
  </r>
  <r>
    <x v="48"/>
    <x v="0"/>
    <x v="0"/>
    <x v="4"/>
    <x v="48"/>
    <x v="48"/>
    <x v="29"/>
    <x v="29"/>
    <x v="29"/>
    <x v="29"/>
    <x v="10"/>
    <x v="217"/>
    <x v="283"/>
    <x v="74"/>
    <x v="440"/>
    <x v="55"/>
    <x v="117"/>
    <x v="0"/>
    <x v="0"/>
  </r>
  <r>
    <x v="48"/>
    <x v="0"/>
    <x v="0"/>
    <x v="4"/>
    <x v="48"/>
    <x v="48"/>
    <x v="78"/>
    <x v="78"/>
    <x v="78"/>
    <x v="78"/>
    <x v="10"/>
    <x v="217"/>
    <x v="283"/>
    <x v="118"/>
    <x v="134"/>
    <x v="65"/>
    <x v="144"/>
    <x v="0"/>
    <x v="0"/>
  </r>
  <r>
    <x v="48"/>
    <x v="0"/>
    <x v="0"/>
    <x v="4"/>
    <x v="48"/>
    <x v="48"/>
    <x v="7"/>
    <x v="7"/>
    <x v="7"/>
    <x v="7"/>
    <x v="10"/>
    <x v="217"/>
    <x v="283"/>
    <x v="91"/>
    <x v="152"/>
    <x v="61"/>
    <x v="62"/>
    <x v="0"/>
    <x v="0"/>
  </r>
  <r>
    <x v="48"/>
    <x v="0"/>
    <x v="0"/>
    <x v="4"/>
    <x v="48"/>
    <x v="48"/>
    <x v="17"/>
    <x v="17"/>
    <x v="17"/>
    <x v="17"/>
    <x v="13"/>
    <x v="218"/>
    <x v="171"/>
    <x v="133"/>
    <x v="13"/>
    <x v="74"/>
    <x v="305"/>
    <x v="0"/>
    <x v="0"/>
  </r>
  <r>
    <x v="48"/>
    <x v="0"/>
    <x v="0"/>
    <x v="4"/>
    <x v="48"/>
    <x v="48"/>
    <x v="43"/>
    <x v="43"/>
    <x v="43"/>
    <x v="43"/>
    <x v="13"/>
    <x v="218"/>
    <x v="171"/>
    <x v="118"/>
    <x v="134"/>
    <x v="55"/>
    <x v="117"/>
    <x v="0"/>
    <x v="0"/>
  </r>
  <r>
    <x v="48"/>
    <x v="0"/>
    <x v="0"/>
    <x v="4"/>
    <x v="48"/>
    <x v="48"/>
    <x v="35"/>
    <x v="35"/>
    <x v="35"/>
    <x v="35"/>
    <x v="13"/>
    <x v="218"/>
    <x v="171"/>
    <x v="133"/>
    <x v="13"/>
    <x v="74"/>
    <x v="305"/>
    <x v="0"/>
    <x v="0"/>
  </r>
  <r>
    <x v="48"/>
    <x v="0"/>
    <x v="0"/>
    <x v="4"/>
    <x v="48"/>
    <x v="48"/>
    <x v="12"/>
    <x v="12"/>
    <x v="12"/>
    <x v="12"/>
    <x v="16"/>
    <x v="238"/>
    <x v="124"/>
    <x v="118"/>
    <x v="134"/>
    <x v="61"/>
    <x v="62"/>
    <x v="0"/>
    <x v="0"/>
  </r>
  <r>
    <x v="48"/>
    <x v="0"/>
    <x v="0"/>
    <x v="4"/>
    <x v="48"/>
    <x v="48"/>
    <x v="34"/>
    <x v="34"/>
    <x v="34"/>
    <x v="34"/>
    <x v="16"/>
    <x v="238"/>
    <x v="124"/>
    <x v="54"/>
    <x v="335"/>
    <x v="55"/>
    <x v="117"/>
    <x v="0"/>
    <x v="0"/>
  </r>
  <r>
    <x v="48"/>
    <x v="0"/>
    <x v="0"/>
    <x v="4"/>
    <x v="48"/>
    <x v="48"/>
    <x v="26"/>
    <x v="26"/>
    <x v="26"/>
    <x v="26"/>
    <x v="16"/>
    <x v="238"/>
    <x v="124"/>
    <x v="116"/>
    <x v="240"/>
    <x v="74"/>
    <x v="305"/>
    <x v="0"/>
    <x v="0"/>
  </r>
  <r>
    <x v="48"/>
    <x v="0"/>
    <x v="0"/>
    <x v="4"/>
    <x v="48"/>
    <x v="48"/>
    <x v="46"/>
    <x v="46"/>
    <x v="46"/>
    <x v="46"/>
    <x v="16"/>
    <x v="238"/>
    <x v="124"/>
    <x v="118"/>
    <x v="134"/>
    <x v="61"/>
    <x v="62"/>
    <x v="0"/>
    <x v="0"/>
  </r>
  <r>
    <x v="48"/>
    <x v="0"/>
    <x v="0"/>
    <x v="4"/>
    <x v="48"/>
    <x v="48"/>
    <x v="5"/>
    <x v="5"/>
    <x v="5"/>
    <x v="5"/>
    <x v="16"/>
    <x v="238"/>
    <x v="124"/>
    <x v="195"/>
    <x v="10"/>
    <x v="65"/>
    <x v="144"/>
    <x v="0"/>
    <x v="0"/>
  </r>
  <r>
    <x v="49"/>
    <x v="0"/>
    <x v="0"/>
    <x v="4"/>
    <x v="49"/>
    <x v="49"/>
    <x v="44"/>
    <x v="44"/>
    <x v="44"/>
    <x v="44"/>
    <x v="0"/>
    <x v="84"/>
    <x v="321"/>
    <x v="67"/>
    <x v="472"/>
    <x v="74"/>
    <x v="263"/>
    <x v="0"/>
    <x v="0"/>
  </r>
  <r>
    <x v="49"/>
    <x v="0"/>
    <x v="0"/>
    <x v="4"/>
    <x v="49"/>
    <x v="49"/>
    <x v="72"/>
    <x v="72"/>
    <x v="72"/>
    <x v="72"/>
    <x v="1"/>
    <x v="57"/>
    <x v="210"/>
    <x v="132"/>
    <x v="473"/>
    <x v="80"/>
    <x v="357"/>
    <x v="0"/>
    <x v="0"/>
  </r>
  <r>
    <x v="49"/>
    <x v="0"/>
    <x v="0"/>
    <x v="4"/>
    <x v="49"/>
    <x v="49"/>
    <x v="0"/>
    <x v="0"/>
    <x v="0"/>
    <x v="0"/>
    <x v="2"/>
    <x v="208"/>
    <x v="322"/>
    <x v="115"/>
    <x v="474"/>
    <x v="61"/>
    <x v="62"/>
    <x v="0"/>
    <x v="0"/>
  </r>
  <r>
    <x v="49"/>
    <x v="0"/>
    <x v="0"/>
    <x v="4"/>
    <x v="49"/>
    <x v="49"/>
    <x v="42"/>
    <x v="42"/>
    <x v="42"/>
    <x v="42"/>
    <x v="3"/>
    <x v="113"/>
    <x v="39"/>
    <x v="119"/>
    <x v="44"/>
    <x v="65"/>
    <x v="358"/>
    <x v="0"/>
    <x v="0"/>
  </r>
  <r>
    <x v="49"/>
    <x v="0"/>
    <x v="0"/>
    <x v="4"/>
    <x v="49"/>
    <x v="49"/>
    <x v="6"/>
    <x v="6"/>
    <x v="6"/>
    <x v="6"/>
    <x v="4"/>
    <x v="205"/>
    <x v="177"/>
    <x v="76"/>
    <x v="347"/>
    <x v="61"/>
    <x v="62"/>
    <x v="0"/>
    <x v="0"/>
  </r>
  <r>
    <x v="49"/>
    <x v="0"/>
    <x v="0"/>
    <x v="4"/>
    <x v="49"/>
    <x v="49"/>
    <x v="74"/>
    <x v="74"/>
    <x v="74"/>
    <x v="74"/>
    <x v="5"/>
    <x v="226"/>
    <x v="165"/>
    <x v="91"/>
    <x v="70"/>
    <x v="50"/>
    <x v="359"/>
    <x v="0"/>
    <x v="0"/>
  </r>
  <r>
    <x v="49"/>
    <x v="0"/>
    <x v="0"/>
    <x v="4"/>
    <x v="49"/>
    <x v="49"/>
    <x v="29"/>
    <x v="29"/>
    <x v="29"/>
    <x v="29"/>
    <x v="6"/>
    <x v="228"/>
    <x v="118"/>
    <x v="132"/>
    <x v="473"/>
    <x v="61"/>
    <x v="62"/>
    <x v="0"/>
    <x v="0"/>
  </r>
  <r>
    <x v="49"/>
    <x v="0"/>
    <x v="0"/>
    <x v="4"/>
    <x v="49"/>
    <x v="49"/>
    <x v="5"/>
    <x v="5"/>
    <x v="5"/>
    <x v="5"/>
    <x v="7"/>
    <x v="212"/>
    <x v="130"/>
    <x v="50"/>
    <x v="475"/>
    <x v="61"/>
    <x v="62"/>
    <x v="0"/>
    <x v="0"/>
  </r>
  <r>
    <x v="49"/>
    <x v="0"/>
    <x v="0"/>
    <x v="4"/>
    <x v="49"/>
    <x v="49"/>
    <x v="4"/>
    <x v="4"/>
    <x v="4"/>
    <x v="4"/>
    <x v="8"/>
    <x v="213"/>
    <x v="77"/>
    <x v="93"/>
    <x v="382"/>
    <x v="55"/>
    <x v="125"/>
    <x v="0"/>
    <x v="0"/>
  </r>
  <r>
    <x v="49"/>
    <x v="0"/>
    <x v="0"/>
    <x v="4"/>
    <x v="49"/>
    <x v="49"/>
    <x v="10"/>
    <x v="10"/>
    <x v="10"/>
    <x v="10"/>
    <x v="9"/>
    <x v="229"/>
    <x v="209"/>
    <x v="133"/>
    <x v="124"/>
    <x v="72"/>
    <x v="360"/>
    <x v="0"/>
    <x v="0"/>
  </r>
  <r>
    <x v="49"/>
    <x v="0"/>
    <x v="0"/>
    <x v="4"/>
    <x v="49"/>
    <x v="49"/>
    <x v="47"/>
    <x v="47"/>
    <x v="47"/>
    <x v="47"/>
    <x v="9"/>
    <x v="229"/>
    <x v="209"/>
    <x v="133"/>
    <x v="124"/>
    <x v="72"/>
    <x v="360"/>
    <x v="0"/>
    <x v="0"/>
  </r>
  <r>
    <x v="49"/>
    <x v="0"/>
    <x v="0"/>
    <x v="4"/>
    <x v="49"/>
    <x v="49"/>
    <x v="12"/>
    <x v="12"/>
    <x v="12"/>
    <x v="12"/>
    <x v="11"/>
    <x v="214"/>
    <x v="169"/>
    <x v="56"/>
    <x v="194"/>
    <x v="56"/>
    <x v="95"/>
    <x v="0"/>
    <x v="0"/>
  </r>
  <r>
    <x v="49"/>
    <x v="0"/>
    <x v="0"/>
    <x v="4"/>
    <x v="49"/>
    <x v="49"/>
    <x v="19"/>
    <x v="19"/>
    <x v="19"/>
    <x v="19"/>
    <x v="12"/>
    <x v="234"/>
    <x v="291"/>
    <x v="151"/>
    <x v="311"/>
    <x v="55"/>
    <x v="125"/>
    <x v="0"/>
    <x v="0"/>
  </r>
  <r>
    <x v="49"/>
    <x v="0"/>
    <x v="0"/>
    <x v="4"/>
    <x v="49"/>
    <x v="49"/>
    <x v="46"/>
    <x v="46"/>
    <x v="46"/>
    <x v="46"/>
    <x v="12"/>
    <x v="234"/>
    <x v="291"/>
    <x v="107"/>
    <x v="476"/>
    <x v="61"/>
    <x v="62"/>
    <x v="0"/>
    <x v="0"/>
  </r>
  <r>
    <x v="49"/>
    <x v="0"/>
    <x v="0"/>
    <x v="4"/>
    <x v="49"/>
    <x v="49"/>
    <x v="17"/>
    <x v="17"/>
    <x v="17"/>
    <x v="17"/>
    <x v="14"/>
    <x v="215"/>
    <x v="97"/>
    <x v="118"/>
    <x v="477"/>
    <x v="74"/>
    <x v="263"/>
    <x v="0"/>
    <x v="0"/>
  </r>
  <r>
    <x v="49"/>
    <x v="0"/>
    <x v="0"/>
    <x v="4"/>
    <x v="49"/>
    <x v="49"/>
    <x v="18"/>
    <x v="18"/>
    <x v="18"/>
    <x v="18"/>
    <x v="14"/>
    <x v="215"/>
    <x v="97"/>
    <x v="89"/>
    <x v="52"/>
    <x v="55"/>
    <x v="125"/>
    <x v="0"/>
    <x v="0"/>
  </r>
  <r>
    <x v="49"/>
    <x v="0"/>
    <x v="0"/>
    <x v="4"/>
    <x v="49"/>
    <x v="49"/>
    <x v="9"/>
    <x v="9"/>
    <x v="9"/>
    <x v="9"/>
    <x v="16"/>
    <x v="216"/>
    <x v="124"/>
    <x v="89"/>
    <x v="52"/>
    <x v="61"/>
    <x v="62"/>
    <x v="0"/>
    <x v="0"/>
  </r>
  <r>
    <x v="49"/>
    <x v="0"/>
    <x v="0"/>
    <x v="4"/>
    <x v="49"/>
    <x v="49"/>
    <x v="13"/>
    <x v="13"/>
    <x v="13"/>
    <x v="13"/>
    <x v="17"/>
    <x v="217"/>
    <x v="244"/>
    <x v="195"/>
    <x v="36"/>
    <x v="74"/>
    <x v="263"/>
    <x v="0"/>
    <x v="0"/>
  </r>
  <r>
    <x v="49"/>
    <x v="0"/>
    <x v="0"/>
    <x v="4"/>
    <x v="49"/>
    <x v="49"/>
    <x v="34"/>
    <x v="34"/>
    <x v="34"/>
    <x v="34"/>
    <x v="17"/>
    <x v="217"/>
    <x v="244"/>
    <x v="91"/>
    <x v="70"/>
    <x v="61"/>
    <x v="62"/>
    <x v="0"/>
    <x v="0"/>
  </r>
  <r>
    <x v="49"/>
    <x v="0"/>
    <x v="0"/>
    <x v="4"/>
    <x v="49"/>
    <x v="49"/>
    <x v="16"/>
    <x v="16"/>
    <x v="16"/>
    <x v="16"/>
    <x v="17"/>
    <x v="217"/>
    <x v="244"/>
    <x v="74"/>
    <x v="74"/>
    <x v="55"/>
    <x v="125"/>
    <x v="0"/>
    <x v="0"/>
  </r>
  <r>
    <x v="50"/>
    <x v="0"/>
    <x v="0"/>
    <x v="4"/>
    <x v="50"/>
    <x v="50"/>
    <x v="10"/>
    <x v="10"/>
    <x v="10"/>
    <x v="10"/>
    <x v="0"/>
    <x v="204"/>
    <x v="323"/>
    <x v="187"/>
    <x v="176"/>
    <x v="103"/>
    <x v="361"/>
    <x v="0"/>
    <x v="0"/>
  </r>
  <r>
    <x v="50"/>
    <x v="0"/>
    <x v="0"/>
    <x v="4"/>
    <x v="50"/>
    <x v="50"/>
    <x v="0"/>
    <x v="0"/>
    <x v="0"/>
    <x v="0"/>
    <x v="1"/>
    <x v="226"/>
    <x v="290"/>
    <x v="179"/>
    <x v="478"/>
    <x v="61"/>
    <x v="62"/>
    <x v="0"/>
    <x v="0"/>
  </r>
  <r>
    <x v="50"/>
    <x v="0"/>
    <x v="0"/>
    <x v="4"/>
    <x v="50"/>
    <x v="50"/>
    <x v="6"/>
    <x v="6"/>
    <x v="6"/>
    <x v="6"/>
    <x v="2"/>
    <x v="227"/>
    <x v="246"/>
    <x v="108"/>
    <x v="479"/>
    <x v="61"/>
    <x v="62"/>
    <x v="0"/>
    <x v="0"/>
  </r>
  <r>
    <x v="50"/>
    <x v="0"/>
    <x v="0"/>
    <x v="4"/>
    <x v="50"/>
    <x v="50"/>
    <x v="44"/>
    <x v="44"/>
    <x v="44"/>
    <x v="44"/>
    <x v="3"/>
    <x v="228"/>
    <x v="324"/>
    <x v="93"/>
    <x v="234"/>
    <x v="56"/>
    <x v="177"/>
    <x v="0"/>
    <x v="0"/>
  </r>
  <r>
    <x v="50"/>
    <x v="0"/>
    <x v="0"/>
    <x v="4"/>
    <x v="50"/>
    <x v="50"/>
    <x v="42"/>
    <x v="42"/>
    <x v="42"/>
    <x v="42"/>
    <x v="4"/>
    <x v="214"/>
    <x v="325"/>
    <x v="74"/>
    <x v="343"/>
    <x v="60"/>
    <x v="362"/>
    <x v="0"/>
    <x v="0"/>
  </r>
  <r>
    <x v="50"/>
    <x v="0"/>
    <x v="0"/>
    <x v="4"/>
    <x v="50"/>
    <x v="50"/>
    <x v="4"/>
    <x v="4"/>
    <x v="4"/>
    <x v="4"/>
    <x v="5"/>
    <x v="216"/>
    <x v="326"/>
    <x v="89"/>
    <x v="5"/>
    <x v="61"/>
    <x v="62"/>
    <x v="0"/>
    <x v="0"/>
  </r>
  <r>
    <x v="50"/>
    <x v="0"/>
    <x v="0"/>
    <x v="4"/>
    <x v="50"/>
    <x v="50"/>
    <x v="2"/>
    <x v="2"/>
    <x v="2"/>
    <x v="2"/>
    <x v="5"/>
    <x v="216"/>
    <x v="326"/>
    <x v="91"/>
    <x v="390"/>
    <x v="55"/>
    <x v="336"/>
    <x v="0"/>
    <x v="0"/>
  </r>
  <r>
    <x v="50"/>
    <x v="0"/>
    <x v="0"/>
    <x v="4"/>
    <x v="50"/>
    <x v="50"/>
    <x v="18"/>
    <x v="18"/>
    <x v="18"/>
    <x v="18"/>
    <x v="7"/>
    <x v="217"/>
    <x v="222"/>
    <x v="74"/>
    <x v="343"/>
    <x v="55"/>
    <x v="336"/>
    <x v="0"/>
    <x v="0"/>
  </r>
  <r>
    <x v="50"/>
    <x v="0"/>
    <x v="0"/>
    <x v="4"/>
    <x v="50"/>
    <x v="50"/>
    <x v="8"/>
    <x v="8"/>
    <x v="8"/>
    <x v="8"/>
    <x v="7"/>
    <x v="217"/>
    <x v="222"/>
    <x v="91"/>
    <x v="390"/>
    <x v="61"/>
    <x v="62"/>
    <x v="0"/>
    <x v="0"/>
  </r>
  <r>
    <x v="50"/>
    <x v="0"/>
    <x v="0"/>
    <x v="4"/>
    <x v="50"/>
    <x v="50"/>
    <x v="64"/>
    <x v="64"/>
    <x v="64"/>
    <x v="64"/>
    <x v="9"/>
    <x v="218"/>
    <x v="149"/>
    <x v="118"/>
    <x v="56"/>
    <x v="55"/>
    <x v="336"/>
    <x v="0"/>
    <x v="0"/>
  </r>
  <r>
    <x v="50"/>
    <x v="0"/>
    <x v="0"/>
    <x v="4"/>
    <x v="50"/>
    <x v="50"/>
    <x v="19"/>
    <x v="19"/>
    <x v="19"/>
    <x v="19"/>
    <x v="10"/>
    <x v="238"/>
    <x v="223"/>
    <x v="54"/>
    <x v="248"/>
    <x v="55"/>
    <x v="336"/>
    <x v="0"/>
    <x v="0"/>
  </r>
  <r>
    <x v="50"/>
    <x v="0"/>
    <x v="0"/>
    <x v="4"/>
    <x v="50"/>
    <x v="50"/>
    <x v="25"/>
    <x v="25"/>
    <x v="25"/>
    <x v="25"/>
    <x v="10"/>
    <x v="238"/>
    <x v="223"/>
    <x v="195"/>
    <x v="237"/>
    <x v="65"/>
    <x v="92"/>
    <x v="0"/>
    <x v="0"/>
  </r>
  <r>
    <x v="50"/>
    <x v="0"/>
    <x v="0"/>
    <x v="4"/>
    <x v="50"/>
    <x v="50"/>
    <x v="13"/>
    <x v="13"/>
    <x v="13"/>
    <x v="13"/>
    <x v="10"/>
    <x v="238"/>
    <x v="223"/>
    <x v="195"/>
    <x v="237"/>
    <x v="65"/>
    <x v="92"/>
    <x v="0"/>
    <x v="0"/>
  </r>
  <r>
    <x v="50"/>
    <x v="0"/>
    <x v="0"/>
    <x v="4"/>
    <x v="50"/>
    <x v="50"/>
    <x v="7"/>
    <x v="7"/>
    <x v="7"/>
    <x v="7"/>
    <x v="10"/>
    <x v="238"/>
    <x v="223"/>
    <x v="118"/>
    <x v="56"/>
    <x v="61"/>
    <x v="62"/>
    <x v="0"/>
    <x v="0"/>
  </r>
  <r>
    <x v="50"/>
    <x v="0"/>
    <x v="0"/>
    <x v="4"/>
    <x v="50"/>
    <x v="50"/>
    <x v="41"/>
    <x v="41"/>
    <x v="41"/>
    <x v="41"/>
    <x v="10"/>
    <x v="238"/>
    <x v="223"/>
    <x v="54"/>
    <x v="248"/>
    <x v="55"/>
    <x v="336"/>
    <x v="0"/>
    <x v="0"/>
  </r>
  <r>
    <x v="50"/>
    <x v="0"/>
    <x v="0"/>
    <x v="4"/>
    <x v="50"/>
    <x v="50"/>
    <x v="47"/>
    <x v="47"/>
    <x v="47"/>
    <x v="47"/>
    <x v="15"/>
    <x v="239"/>
    <x v="159"/>
    <x v="48"/>
    <x v="177"/>
    <x v="60"/>
    <x v="362"/>
    <x v="0"/>
    <x v="0"/>
  </r>
  <r>
    <x v="50"/>
    <x v="0"/>
    <x v="0"/>
    <x v="4"/>
    <x v="50"/>
    <x v="50"/>
    <x v="59"/>
    <x v="59"/>
    <x v="59"/>
    <x v="59"/>
    <x v="16"/>
    <x v="240"/>
    <x v="124"/>
    <x v="116"/>
    <x v="92"/>
    <x v="65"/>
    <x v="92"/>
    <x v="0"/>
    <x v="0"/>
  </r>
  <r>
    <x v="50"/>
    <x v="0"/>
    <x v="0"/>
    <x v="4"/>
    <x v="50"/>
    <x v="50"/>
    <x v="72"/>
    <x v="72"/>
    <x v="72"/>
    <x v="72"/>
    <x v="16"/>
    <x v="240"/>
    <x v="124"/>
    <x v="187"/>
    <x v="176"/>
    <x v="56"/>
    <x v="177"/>
    <x v="0"/>
    <x v="0"/>
  </r>
  <r>
    <x v="50"/>
    <x v="0"/>
    <x v="0"/>
    <x v="4"/>
    <x v="50"/>
    <x v="50"/>
    <x v="74"/>
    <x v="74"/>
    <x v="74"/>
    <x v="74"/>
    <x v="16"/>
    <x v="240"/>
    <x v="124"/>
    <x v="133"/>
    <x v="394"/>
    <x v="55"/>
    <x v="336"/>
    <x v="0"/>
    <x v="0"/>
  </r>
  <r>
    <x v="50"/>
    <x v="0"/>
    <x v="0"/>
    <x v="4"/>
    <x v="50"/>
    <x v="50"/>
    <x v="12"/>
    <x v="12"/>
    <x v="12"/>
    <x v="12"/>
    <x v="16"/>
    <x v="240"/>
    <x v="124"/>
    <x v="116"/>
    <x v="92"/>
    <x v="65"/>
    <x v="92"/>
    <x v="0"/>
    <x v="0"/>
  </r>
  <r>
    <x v="50"/>
    <x v="0"/>
    <x v="0"/>
    <x v="4"/>
    <x v="50"/>
    <x v="50"/>
    <x v="71"/>
    <x v="71"/>
    <x v="71"/>
    <x v="71"/>
    <x v="16"/>
    <x v="240"/>
    <x v="124"/>
    <x v="133"/>
    <x v="394"/>
    <x v="55"/>
    <x v="336"/>
    <x v="0"/>
    <x v="0"/>
  </r>
  <r>
    <x v="50"/>
    <x v="0"/>
    <x v="0"/>
    <x v="4"/>
    <x v="50"/>
    <x v="50"/>
    <x v="3"/>
    <x v="3"/>
    <x v="3"/>
    <x v="3"/>
    <x v="16"/>
    <x v="240"/>
    <x v="124"/>
    <x v="195"/>
    <x v="237"/>
    <x v="61"/>
    <x v="62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vt_L" cacheId="371" applyNumberFormats="0" applyBorderFormats="0" applyFontFormats="0" applyPatternFormats="0" applyAlignmentFormats="0" applyWidthHeightFormats="1" dataCaption="値" updatedVersion="5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817" firstHeaderRow="0" firstDataRow="1" firstDataCol="1"/>
  <pivotFields count="18">
    <pivotField showAll="0"/>
    <pivotField showAll="0"/>
    <pivotField showAll="0"/>
    <pivotField showAll="0"/>
    <pivotField showAll="0"/>
    <pivotField axis="axisRow" showAl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showAll="0"/>
    <pivotField showAll="0"/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2">
    <field x="5"/>
    <field x="9"/>
  </rowFields>
  <rowItems count="81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0" baseField="0" baseItem="0" numFmtId="176"/>
    <dataField name="総数／構成比" fld="11" baseField="0" baseItem="0" numFmtId="177"/>
    <dataField name="個人／事業所数" fld="12" baseField="0" baseItem="0" numFmtId="176"/>
    <dataField name="個人／構成比" fld="13" baseField="0" baseItem="0" numFmtId="177"/>
    <dataField name="法人／事業所数" fld="14" baseField="0" baseItem="0" numFmtId="176"/>
    <dataField name="法人／構成比" fld="15" baseField="0" baseItem="0" numFmtId="177"/>
    <dataField name="法人以外の団体／事業所数" fld="16" baseField="0" baseItem="0" numFmtId="176"/>
  </dataFields>
  <formats count="18">
    <format dxfId="769">
      <pivotArea field="5" type="button" dataOnly="0" labelOnly="1" outline="0" axis="axisRow" fieldPosition="0"/>
    </format>
    <format dxfId="768">
      <pivotArea outline="0" fieldPosition="0">
        <references count="1">
          <reference field="4294967294" count="1">
            <x v="0"/>
          </reference>
        </references>
      </pivotArea>
    </format>
    <format dxfId="767">
      <pivotArea outline="0" fieldPosition="0">
        <references count="1">
          <reference field="4294967294" count="1">
            <x v="1"/>
          </reference>
        </references>
      </pivotArea>
    </format>
    <format dxfId="766">
      <pivotArea outline="0" fieldPosition="0">
        <references count="1">
          <reference field="4294967294" count="1">
            <x v="2"/>
          </reference>
        </references>
      </pivotArea>
    </format>
    <format dxfId="765">
      <pivotArea outline="0" fieldPosition="0">
        <references count="1">
          <reference field="4294967294" count="1">
            <x v="3"/>
          </reference>
        </references>
      </pivotArea>
    </format>
    <format dxfId="764">
      <pivotArea outline="0" fieldPosition="0">
        <references count="1">
          <reference field="4294967294" count="1">
            <x v="4"/>
          </reference>
        </references>
      </pivotArea>
    </format>
    <format dxfId="763">
      <pivotArea outline="0" fieldPosition="0">
        <references count="1">
          <reference field="4294967294" count="1">
            <x v="5"/>
          </reference>
        </references>
      </pivotArea>
    </format>
    <format dxfId="762">
      <pivotArea outline="0" fieldPosition="0">
        <references count="1">
          <reference field="4294967294" count="1">
            <x v="6"/>
          </reference>
        </references>
      </pivotArea>
    </format>
    <format dxfId="761">
      <pivotArea field="5" type="button" dataOnly="0" labelOnly="1" outline="0" axis="axisRow" fieldPosition="0"/>
    </format>
    <format dxfId="76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59">
      <pivotArea field="5" type="button" dataOnly="0" labelOnly="1" outline="0" axis="axisRow" fieldPosition="0"/>
    </format>
    <format dxfId="75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57">
      <pivotArea field="5" type="button" dataOnly="0" labelOnly="1" outline="0" axis="axisRow" fieldPosition="0"/>
    </format>
    <format dxfId="75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55">
      <pivotArea field="5" type="button" dataOnly="0" labelOnly="1" outline="0" axis="axisRow" fieldPosition="0"/>
    </format>
    <format dxfId="75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5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5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vt_M" cacheId="372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153" firstHeaderRow="0" firstDataRow="1" firstDataCol="2"/>
  <pivotFields count="19">
    <pivotField showAll="0" defaultSubtota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5">
        <item x="0"/>
        <item x="1"/>
        <item x="2"/>
        <item x="3"/>
        <item x="4"/>
      </items>
    </pivotField>
    <pivotField showAll="0" defaultSubtotal="0">
      <items count="51">
        <item x="38"/>
        <item x="16"/>
        <item x="17"/>
        <item x="41"/>
        <item x="42"/>
        <item x="20"/>
        <item x="29"/>
        <item x="37"/>
        <item x="25"/>
        <item x="48"/>
        <item x="28"/>
        <item x="24"/>
        <item x="36"/>
        <item x="30"/>
        <item x="15"/>
        <item x="27"/>
        <item x="1"/>
        <item x="6"/>
        <item x="7"/>
        <item x="10"/>
        <item x="9"/>
        <item x="5"/>
        <item x="2"/>
        <item x="3"/>
        <item x="4"/>
        <item x="8"/>
        <item x="43"/>
        <item x="45"/>
        <item x="44"/>
        <item x="14"/>
        <item x="22"/>
        <item x="47"/>
        <item x="21"/>
        <item x="26"/>
        <item x="39"/>
        <item x="18"/>
        <item x="40"/>
        <item x="32"/>
        <item x="35"/>
        <item x="34"/>
        <item x="33"/>
        <item x="12"/>
        <item x="49"/>
        <item x="50"/>
        <item x="11"/>
        <item x="0"/>
        <item x="23"/>
        <item x="19"/>
        <item x="13"/>
        <item x="46"/>
        <item x="31"/>
      </items>
    </pivotField>
    <pivotField axis="axisRow" showAll="0" insertBlankRow="1" defaultSubtota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</items>
    </pivotField>
    <pivotField showAll="0" defaultSubtotal="0">
      <items count="49">
        <item x="4"/>
        <item x="9"/>
        <item x="11"/>
        <item x="34"/>
        <item x="36"/>
        <item x="39"/>
        <item x="45"/>
        <item x="24"/>
        <item x="42"/>
        <item x="25"/>
        <item x="27"/>
        <item x="44"/>
        <item x="46"/>
        <item x="16"/>
        <item x="41"/>
        <item x="26"/>
        <item x="43"/>
        <item x="38"/>
        <item x="47"/>
        <item x="30"/>
        <item x="22"/>
        <item x="48"/>
        <item x="28"/>
        <item x="21"/>
        <item x="15"/>
        <item x="19"/>
        <item x="17"/>
        <item x="7"/>
        <item x="5"/>
        <item x="10"/>
        <item x="2"/>
        <item x="29"/>
        <item x="37"/>
        <item x="14"/>
        <item x="3"/>
        <item x="12"/>
        <item x="13"/>
        <item x="33"/>
        <item x="0"/>
        <item x="31"/>
        <item x="1"/>
        <item x="18"/>
        <item x="35"/>
        <item x="6"/>
        <item x="8"/>
        <item x="20"/>
        <item x="32"/>
        <item x="40"/>
        <item x="23"/>
      </items>
    </pivotField>
    <pivotField showAll="0" defaultSubtotal="0">
      <items count="49">
        <item x="4"/>
        <item x="9"/>
        <item x="11"/>
        <item x="34"/>
        <item x="36"/>
        <item x="39"/>
        <item x="45"/>
        <item x="24"/>
        <item x="42"/>
        <item x="25"/>
        <item x="27"/>
        <item x="44"/>
        <item x="46"/>
        <item x="16"/>
        <item x="41"/>
        <item x="26"/>
        <item x="43"/>
        <item x="38"/>
        <item x="47"/>
        <item x="30"/>
        <item x="22"/>
        <item x="48"/>
        <item x="28"/>
        <item x="21"/>
        <item x="15"/>
        <item x="19"/>
        <item x="17"/>
        <item x="7"/>
        <item x="5"/>
        <item x="10"/>
        <item x="2"/>
        <item x="29"/>
        <item x="37"/>
        <item x="14"/>
        <item x="3"/>
        <item x="12"/>
        <item x="13"/>
        <item x="33"/>
        <item x="0"/>
        <item x="31"/>
        <item x="1"/>
        <item x="18"/>
        <item x="35"/>
        <item x="6"/>
        <item x="8"/>
        <item x="20"/>
        <item x="32"/>
        <item x="40"/>
        <item x="23"/>
      </items>
    </pivotField>
    <pivotField showAll="0" defaultSubtotal="0">
      <items count="49">
        <item x="25"/>
        <item x="17"/>
        <item x="6"/>
        <item x="23"/>
        <item x="2"/>
        <item x="18"/>
        <item x="38"/>
        <item x="27"/>
        <item x="41"/>
        <item x="42"/>
        <item x="8"/>
        <item x="24"/>
        <item x="0"/>
        <item x="21"/>
        <item x="5"/>
        <item x="48"/>
        <item x="45"/>
        <item x="19"/>
        <item x="10"/>
        <item x="40"/>
        <item x="13"/>
        <item x="16"/>
        <item x="15"/>
        <item x="35"/>
        <item x="31"/>
        <item x="32"/>
        <item x="20"/>
        <item x="33"/>
        <item x="47"/>
        <item x="7"/>
        <item x="9"/>
        <item x="34"/>
        <item x="26"/>
        <item x="11"/>
        <item x="12"/>
        <item x="1"/>
        <item x="28"/>
        <item x="36"/>
        <item x="4"/>
        <item x="46"/>
        <item x="22"/>
        <item x="30"/>
        <item x="14"/>
        <item x="3"/>
        <item x="37"/>
        <item x="29"/>
        <item x="39"/>
        <item x="43"/>
        <item x="44"/>
      </items>
    </pivotField>
    <pivotField axis="axisRow" showAll="0" defaultSubtotal="0">
      <items count="49">
        <item x="4"/>
        <item x="9"/>
        <item x="11"/>
        <item x="34"/>
        <item x="36"/>
        <item x="39"/>
        <item x="45"/>
        <item x="24"/>
        <item x="42"/>
        <item x="25"/>
        <item x="27"/>
        <item x="44"/>
        <item x="46"/>
        <item x="16"/>
        <item x="41"/>
        <item x="26"/>
        <item x="43"/>
        <item x="38"/>
        <item x="47"/>
        <item x="30"/>
        <item x="22"/>
        <item x="48"/>
        <item x="28"/>
        <item x="21"/>
        <item x="15"/>
        <item x="19"/>
        <item x="17"/>
        <item x="7"/>
        <item x="5"/>
        <item x="10"/>
        <item x="2"/>
        <item x="29"/>
        <item x="37"/>
        <item x="14"/>
        <item x="3"/>
        <item x="12"/>
        <item x="13"/>
        <item x="33"/>
        <item x="0"/>
        <item x="31"/>
        <item x="1"/>
        <item x="18"/>
        <item x="35"/>
        <item x="6"/>
        <item x="8"/>
        <item x="20"/>
        <item x="32"/>
        <item x="40"/>
        <item x="23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327">
        <item x="326"/>
        <item x="325"/>
        <item x="324"/>
        <item x="323"/>
        <item x="322"/>
        <item x="257"/>
        <item x="256"/>
        <item x="321"/>
        <item x="255"/>
        <item x="254"/>
        <item x="253"/>
        <item x="277"/>
        <item x="297"/>
        <item x="305"/>
        <item x="241"/>
        <item x="234"/>
        <item x="233"/>
        <item x="232"/>
        <item x="252"/>
        <item x="240"/>
        <item x="231"/>
        <item x="283"/>
        <item x="282"/>
        <item x="230"/>
        <item x="292"/>
        <item x="131"/>
        <item x="120"/>
        <item x="229"/>
        <item x="119"/>
        <item x="303"/>
        <item x="281"/>
        <item x="276"/>
        <item x="118"/>
        <item x="265"/>
        <item x="77"/>
        <item x="249"/>
        <item x="145"/>
        <item x="251"/>
        <item x="76"/>
        <item x="75"/>
        <item x="117"/>
        <item x="228"/>
        <item x="130"/>
        <item x="144"/>
        <item x="227"/>
        <item x="226"/>
        <item x="250"/>
        <item x="74"/>
        <item x="58"/>
        <item x="143"/>
        <item x="275"/>
        <item x="211"/>
        <item x="105"/>
        <item x="57"/>
        <item x="239"/>
        <item x="116"/>
        <item x="142"/>
        <item x="296"/>
        <item x="308"/>
        <item x="73"/>
        <item x="104"/>
        <item x="92"/>
        <item x="56"/>
        <item x="55"/>
        <item x="129"/>
        <item x="54"/>
        <item x="115"/>
        <item x="91"/>
        <item x="53"/>
        <item x="114"/>
        <item x="291"/>
        <item x="167"/>
        <item x="72"/>
        <item x="71"/>
        <item x="90"/>
        <item x="89"/>
        <item x="52"/>
        <item x="141"/>
        <item x="70"/>
        <item x="103"/>
        <item x="102"/>
        <item x="51"/>
        <item x="88"/>
        <item x="288"/>
        <item x="238"/>
        <item x="237"/>
        <item x="140"/>
        <item x="113"/>
        <item x="128"/>
        <item x="50"/>
        <item x="306"/>
        <item x="87"/>
        <item x="224"/>
        <item x="223"/>
        <item x="101"/>
        <item x="69"/>
        <item x="139"/>
        <item x="68"/>
        <item x="112"/>
        <item x="111"/>
        <item x="295"/>
        <item x="264"/>
        <item x="210"/>
        <item x="201"/>
        <item x="100"/>
        <item x="236"/>
        <item x="209"/>
        <item x="86"/>
        <item x="161"/>
        <item x="85"/>
        <item x="99"/>
        <item x="98"/>
        <item x="320"/>
        <item x="67"/>
        <item x="66"/>
        <item x="263"/>
        <item x="307"/>
        <item x="316"/>
        <item x="84"/>
        <item x="248"/>
        <item x="247"/>
        <item x="127"/>
        <item x="225"/>
        <item x="83"/>
        <item x="200"/>
        <item x="65"/>
        <item x="314"/>
        <item x="160"/>
        <item x="126"/>
        <item x="208"/>
        <item x="110"/>
        <item x="138"/>
        <item x="315"/>
        <item x="304"/>
        <item x="246"/>
        <item x="222"/>
        <item x="280"/>
        <item x="49"/>
        <item x="48"/>
        <item x="302"/>
        <item x="47"/>
        <item x="221"/>
        <item x="109"/>
        <item x="262"/>
        <item x="279"/>
        <item x="166"/>
        <item x="311"/>
        <item x="318"/>
        <item x="310"/>
        <item x="137"/>
        <item x="64"/>
        <item x="287"/>
        <item x="286"/>
        <item x="274"/>
        <item x="207"/>
        <item x="301"/>
        <item x="319"/>
        <item x="313"/>
        <item x="273"/>
        <item x="312"/>
        <item x="290"/>
        <item x="125"/>
        <item x="186"/>
        <item x="272"/>
        <item x="136"/>
        <item x="185"/>
        <item x="159"/>
        <item x="158"/>
        <item x="124"/>
        <item x="157"/>
        <item x="97"/>
        <item x="46"/>
        <item x="245"/>
        <item x="261"/>
        <item x="135"/>
        <item x="309"/>
        <item x="235"/>
        <item x="184"/>
        <item x="108"/>
        <item x="134"/>
        <item x="45"/>
        <item x="199"/>
        <item x="278"/>
        <item x="165"/>
        <item x="183"/>
        <item x="294"/>
        <item x="63"/>
        <item x="289"/>
        <item x="198"/>
        <item x="164"/>
        <item x="300"/>
        <item x="96"/>
        <item x="156"/>
        <item x="244"/>
        <item x="155"/>
        <item x="220"/>
        <item x="44"/>
        <item x="163"/>
        <item x="62"/>
        <item x="154"/>
        <item x="43"/>
        <item x="107"/>
        <item x="182"/>
        <item x="206"/>
        <item x="153"/>
        <item x="271"/>
        <item x="317"/>
        <item x="95"/>
        <item x="61"/>
        <item x="260"/>
        <item x="299"/>
        <item x="298"/>
        <item x="181"/>
        <item x="205"/>
        <item x="162"/>
        <item x="259"/>
        <item x="270"/>
        <item x="133"/>
        <item x="94"/>
        <item x="204"/>
        <item x="123"/>
        <item x="197"/>
        <item x="293"/>
        <item x="132"/>
        <item x="82"/>
        <item x="81"/>
        <item x="269"/>
        <item x="219"/>
        <item x="60"/>
        <item x="196"/>
        <item x="285"/>
        <item x="42"/>
        <item x="218"/>
        <item x="80"/>
        <item x="217"/>
        <item x="180"/>
        <item x="106"/>
        <item x="195"/>
        <item x="243"/>
        <item x="284"/>
        <item x="152"/>
        <item x="79"/>
        <item x="194"/>
        <item x="122"/>
        <item x="193"/>
        <item x="268"/>
        <item x="192"/>
        <item x="121"/>
        <item x="179"/>
        <item x="242"/>
        <item x="216"/>
        <item x="41"/>
        <item x="178"/>
        <item x="177"/>
        <item x="39"/>
        <item x="176"/>
        <item x="258"/>
        <item x="175"/>
        <item x="40"/>
        <item x="38"/>
        <item x="191"/>
        <item x="37"/>
        <item x="36"/>
        <item x="59"/>
        <item x="267"/>
        <item x="35"/>
        <item x="215"/>
        <item x="174"/>
        <item x="203"/>
        <item x="151"/>
        <item x="266"/>
        <item x="93"/>
        <item x="190"/>
        <item x="173"/>
        <item x="189"/>
        <item x="34"/>
        <item x="202"/>
        <item x="150"/>
        <item x="33"/>
        <item x="149"/>
        <item x="148"/>
        <item x="32"/>
        <item x="31"/>
        <item x="214"/>
        <item x="172"/>
        <item x="78"/>
        <item x="30"/>
        <item x="147"/>
        <item x="171"/>
        <item x="213"/>
        <item x="170"/>
        <item x="188"/>
        <item x="212"/>
        <item x="29"/>
        <item x="28"/>
        <item x="169"/>
        <item x="27"/>
        <item x="26"/>
        <item x="19"/>
        <item x="18"/>
        <item x="17"/>
        <item x="25"/>
        <item x="187"/>
        <item x="16"/>
        <item x="15"/>
        <item x="168"/>
        <item x="24"/>
        <item x="14"/>
        <item x="13"/>
        <item x="23"/>
        <item x="146"/>
        <item x="22"/>
        <item x="21"/>
        <item x="12"/>
        <item x="11"/>
        <item x="10"/>
        <item x="9"/>
        <item x="8"/>
        <item x="7"/>
        <item x="6"/>
        <item x="5"/>
        <item x="20"/>
        <item x="4"/>
        <item x="3"/>
        <item x="2"/>
        <item x="1"/>
        <item x="0"/>
      </items>
    </pivotField>
    <pivotField dataField="1" showAll="0" defaultSubtotal="0">
      <items count="554">
        <item x="545"/>
        <item x="358"/>
        <item x="294"/>
        <item x="553"/>
        <item x="460"/>
        <item x="544"/>
        <item x="134"/>
        <item x="529"/>
        <item x="357"/>
        <item x="133"/>
        <item x="281"/>
        <item x="459"/>
        <item x="356"/>
        <item x="254"/>
        <item x="160"/>
        <item x="407"/>
        <item x="318"/>
        <item x="159"/>
        <item x="416"/>
        <item x="216"/>
        <item x="308"/>
        <item x="280"/>
        <item x="307"/>
        <item x="67"/>
        <item x="253"/>
        <item x="203"/>
        <item x="520"/>
        <item x="19"/>
        <item x="230"/>
        <item x="117"/>
        <item x="158"/>
        <item x="242"/>
        <item x="36"/>
        <item x="18"/>
        <item x="17"/>
        <item x="327"/>
        <item x="53"/>
        <item x="116"/>
        <item x="394"/>
        <item x="190"/>
        <item x="368"/>
        <item x="215"/>
        <item x="279"/>
        <item x="268"/>
        <item x="367"/>
        <item x="16"/>
        <item x="267"/>
        <item x="214"/>
        <item x="52"/>
        <item x="366"/>
        <item x="148"/>
        <item x="15"/>
        <item x="115"/>
        <item x="101"/>
        <item x="83"/>
        <item x="429"/>
        <item x="100"/>
        <item x="132"/>
        <item x="35"/>
        <item x="66"/>
        <item x="147"/>
        <item x="266"/>
        <item x="406"/>
        <item x="415"/>
        <item x="496"/>
        <item x="326"/>
        <item x="278"/>
        <item x="507"/>
        <item x="82"/>
        <item x="51"/>
        <item x="213"/>
        <item x="176"/>
        <item x="50"/>
        <item x="157"/>
        <item x="156"/>
        <item x="99"/>
        <item x="293"/>
        <item x="49"/>
        <item x="405"/>
        <item x="14"/>
        <item x="365"/>
        <item x="543"/>
        <item x="306"/>
        <item x="81"/>
        <item x="48"/>
        <item x="13"/>
        <item x="80"/>
        <item x="229"/>
        <item x="131"/>
        <item x="452"/>
        <item x="241"/>
        <item x="146"/>
        <item x="428"/>
        <item x="65"/>
        <item x="375"/>
        <item x="145"/>
        <item x="240"/>
        <item x="79"/>
        <item x="34"/>
        <item x="444"/>
        <item x="47"/>
        <item x="393"/>
        <item x="155"/>
        <item x="202"/>
        <item x="175"/>
        <item x="98"/>
        <item x="364"/>
        <item x="33"/>
        <item x="336"/>
        <item x="114"/>
        <item x="228"/>
        <item x="335"/>
        <item x="201"/>
        <item x="46"/>
        <item x="113"/>
        <item x="200"/>
        <item x="32"/>
        <item x="144"/>
        <item x="78"/>
        <item x="292"/>
        <item x="97"/>
        <item x="31"/>
        <item x="174"/>
        <item x="96"/>
        <item x="384"/>
        <item x="130"/>
        <item x="212"/>
        <item x="30"/>
        <item x="95"/>
        <item x="427"/>
        <item x="64"/>
        <item x="199"/>
        <item x="45"/>
        <item x="63"/>
        <item x="173"/>
        <item x="305"/>
        <item x="347"/>
        <item x="112"/>
        <item x="392"/>
        <item x="172"/>
        <item x="189"/>
        <item x="94"/>
        <item x="443"/>
        <item x="62"/>
        <item x="466"/>
        <item x="346"/>
        <item x="129"/>
        <item x="426"/>
        <item x="128"/>
        <item x="227"/>
        <item x="363"/>
        <item x="277"/>
        <item x="93"/>
        <item x="77"/>
        <item x="374"/>
        <item x="171"/>
        <item x="434"/>
        <item x="76"/>
        <item x="489"/>
        <item x="495"/>
        <item x="12"/>
        <item x="325"/>
        <item x="484"/>
        <item x="211"/>
        <item x="154"/>
        <item x="542"/>
        <item x="324"/>
        <item x="226"/>
        <item x="552"/>
        <item x="11"/>
        <item x="188"/>
        <item x="265"/>
        <item x="404"/>
        <item x="75"/>
        <item x="317"/>
        <item x="383"/>
        <item x="170"/>
        <item x="92"/>
        <item x="304"/>
        <item x="10"/>
        <item x="239"/>
        <item x="382"/>
        <item x="488"/>
        <item x="74"/>
        <item x="111"/>
        <item x="187"/>
        <item x="238"/>
        <item x="61"/>
        <item x="291"/>
        <item x="127"/>
        <item x="290"/>
        <item x="237"/>
        <item x="60"/>
        <item x="502"/>
        <item x="91"/>
        <item x="303"/>
        <item x="9"/>
        <item x="90"/>
        <item x="425"/>
        <item x="289"/>
        <item x="153"/>
        <item x="198"/>
        <item x="551"/>
        <item x="288"/>
        <item x="316"/>
        <item x="186"/>
        <item x="143"/>
        <item x="8"/>
        <item x="264"/>
        <item x="391"/>
        <item x="433"/>
        <item x="451"/>
        <item x="185"/>
        <item x="73"/>
        <item x="110"/>
        <item x="373"/>
        <item x="263"/>
        <item x="252"/>
        <item x="302"/>
        <item x="142"/>
        <item x="29"/>
        <item x="465"/>
        <item x="184"/>
        <item x="424"/>
        <item x="28"/>
        <item x="315"/>
        <item x="390"/>
        <item x="169"/>
        <item x="44"/>
        <item x="473"/>
        <item x="197"/>
        <item x="43"/>
        <item x="423"/>
        <item x="7"/>
        <item x="27"/>
        <item x="345"/>
        <item x="196"/>
        <item x="403"/>
        <item x="109"/>
        <item x="506"/>
        <item x="301"/>
        <item x="141"/>
        <item x="344"/>
        <item x="26"/>
        <item x="472"/>
        <item x="195"/>
        <item x="343"/>
        <item x="442"/>
        <item x="458"/>
        <item x="402"/>
        <item x="300"/>
        <item x="342"/>
        <item x="168"/>
        <item x="494"/>
        <item x="441"/>
        <item x="251"/>
        <item x="512"/>
        <item x="59"/>
        <item x="6"/>
        <item x="262"/>
        <item x="210"/>
        <item x="261"/>
        <item x="225"/>
        <item x="414"/>
        <item x="422"/>
        <item x="287"/>
        <item x="464"/>
        <item x="314"/>
        <item x="183"/>
        <item x="108"/>
        <item x="126"/>
        <item x="224"/>
        <item x="107"/>
        <item x="260"/>
        <item x="167"/>
        <item x="389"/>
        <item x="236"/>
        <item x="223"/>
        <item x="209"/>
        <item x="355"/>
        <item x="323"/>
        <item x="440"/>
        <item x="25"/>
        <item x="125"/>
        <item x="457"/>
        <item x="166"/>
        <item x="341"/>
        <item x="322"/>
        <item x="286"/>
        <item x="182"/>
        <item x="276"/>
        <item x="334"/>
        <item x="354"/>
        <item x="381"/>
        <item x="42"/>
        <item x="519"/>
        <item x="471"/>
        <item x="222"/>
        <item x="124"/>
        <item x="353"/>
        <item x="479"/>
        <item x="165"/>
        <item x="275"/>
        <item x="413"/>
        <item x="58"/>
        <item x="528"/>
        <item x="463"/>
        <item x="140"/>
        <item x="24"/>
        <item x="5"/>
        <item x="352"/>
        <item x="89"/>
        <item x="401"/>
        <item x="299"/>
        <item x="194"/>
        <item x="412"/>
        <item x="505"/>
        <item x="527"/>
        <item x="250"/>
        <item x="501"/>
        <item x="313"/>
        <item x="400"/>
        <item x="362"/>
        <item x="249"/>
        <item x="221"/>
        <item x="333"/>
        <item x="4"/>
        <item x="541"/>
        <item x="332"/>
        <item x="208"/>
        <item x="470"/>
        <item x="152"/>
        <item x="274"/>
        <item x="351"/>
        <item x="483"/>
        <item x="518"/>
        <item x="550"/>
        <item x="432"/>
        <item x="487"/>
        <item x="106"/>
        <item x="526"/>
        <item x="517"/>
        <item x="439"/>
        <item x="248"/>
        <item x="41"/>
        <item x="207"/>
        <item x="285"/>
        <item x="123"/>
        <item x="88"/>
        <item x="40"/>
        <item x="516"/>
        <item x="493"/>
        <item x="469"/>
        <item x="411"/>
        <item x="273"/>
        <item x="181"/>
        <item x="312"/>
        <item x="259"/>
        <item x="105"/>
        <item x="350"/>
        <item x="388"/>
        <item x="258"/>
        <item x="478"/>
        <item x="540"/>
        <item x="122"/>
        <item x="492"/>
        <item x="23"/>
        <item x="87"/>
        <item x="180"/>
        <item x="450"/>
        <item x="57"/>
        <item x="298"/>
        <item x="235"/>
        <item x="410"/>
        <item x="311"/>
        <item x="456"/>
        <item x="164"/>
        <item x="247"/>
        <item x="121"/>
        <item x="372"/>
        <item x="139"/>
        <item x="511"/>
        <item x="482"/>
        <item x="3"/>
        <item x="86"/>
        <item x="163"/>
        <item x="525"/>
        <item x="331"/>
        <item x="515"/>
        <item x="340"/>
        <item x="486"/>
        <item x="72"/>
        <item x="361"/>
        <item x="71"/>
        <item x="138"/>
        <item x="2"/>
        <item x="421"/>
        <item x="257"/>
        <item x="449"/>
        <item x="151"/>
        <item x="193"/>
        <item x="137"/>
        <item x="380"/>
        <item x="162"/>
        <item x="179"/>
        <item x="399"/>
        <item x="371"/>
        <item x="220"/>
        <item x="539"/>
        <item x="533"/>
        <item x="524"/>
        <item x="398"/>
        <item x="272"/>
        <item x="70"/>
        <item x="477"/>
        <item x="85"/>
        <item x="532"/>
        <item x="22"/>
        <item x="150"/>
        <item x="420"/>
        <item x="387"/>
        <item x="56"/>
        <item x="206"/>
        <item x="297"/>
        <item x="419"/>
        <item x="379"/>
        <item x="284"/>
        <item x="476"/>
        <item x="500"/>
        <item x="504"/>
        <item x="386"/>
        <item x="370"/>
        <item x="246"/>
        <item x="385"/>
        <item x="468"/>
        <item x="549"/>
        <item x="234"/>
        <item x="510"/>
        <item x="39"/>
        <item x="104"/>
        <item x="538"/>
        <item x="21"/>
        <item x="455"/>
        <item x="499"/>
        <item x="69"/>
        <item x="283"/>
        <item x="438"/>
        <item x="409"/>
        <item x="378"/>
        <item x="467"/>
        <item x="523"/>
        <item x="537"/>
        <item x="514"/>
        <item x="161"/>
        <item x="437"/>
        <item x="233"/>
        <item x="448"/>
        <item x="485"/>
        <item x="462"/>
        <item x="481"/>
        <item x="498"/>
        <item x="431"/>
        <item x="475"/>
        <item x="339"/>
        <item x="397"/>
        <item x="447"/>
        <item x="360"/>
        <item x="536"/>
        <item x="377"/>
        <item x="436"/>
        <item x="321"/>
        <item x="535"/>
        <item x="522"/>
        <item x="418"/>
        <item x="509"/>
        <item x="408"/>
        <item x="1"/>
        <item x="232"/>
        <item x="430"/>
        <item x="338"/>
        <item x="417"/>
        <item x="120"/>
        <item x="178"/>
        <item x="446"/>
        <item x="503"/>
        <item x="103"/>
        <item x="55"/>
        <item x="396"/>
        <item x="454"/>
        <item x="271"/>
        <item x="376"/>
        <item x="330"/>
        <item x="369"/>
        <item x="548"/>
        <item x="320"/>
        <item x="270"/>
        <item x="192"/>
        <item x="445"/>
        <item x="531"/>
        <item x="38"/>
        <item x="136"/>
        <item x="310"/>
        <item x="395"/>
        <item x="547"/>
        <item x="513"/>
        <item x="461"/>
        <item x="329"/>
        <item x="219"/>
        <item x="435"/>
        <item x="474"/>
        <item x="359"/>
        <item x="269"/>
        <item x="546"/>
        <item x="337"/>
        <item x="245"/>
        <item x="521"/>
        <item x="135"/>
        <item x="349"/>
        <item x="256"/>
        <item x="244"/>
        <item x="328"/>
        <item x="508"/>
        <item x="218"/>
        <item x="296"/>
        <item x="243"/>
        <item x="309"/>
        <item x="37"/>
        <item x="205"/>
        <item x="119"/>
        <item x="530"/>
        <item x="534"/>
        <item x="118"/>
        <item x="231"/>
        <item x="295"/>
        <item x="255"/>
        <item x="177"/>
        <item x="491"/>
        <item x="319"/>
        <item x="490"/>
        <item x="0"/>
        <item x="497"/>
        <item x="217"/>
        <item x="102"/>
        <item x="282"/>
        <item x="204"/>
        <item x="453"/>
        <item x="348"/>
        <item x="191"/>
        <item x="54"/>
        <item x="84"/>
        <item x="20"/>
        <item x="68"/>
        <item x="480"/>
        <item x="149"/>
      </items>
    </pivotField>
    <pivotField dataField="1" showAll="0" defaultSubtotal="0">
      <items count="254">
        <item x="225"/>
        <item x="71"/>
        <item x="57"/>
        <item x="145"/>
        <item x="58"/>
        <item x="135"/>
        <item x="74"/>
        <item x="56"/>
        <item x="72"/>
        <item x="55"/>
        <item x="185"/>
        <item x="137"/>
        <item x="53"/>
        <item x="66"/>
        <item x="84"/>
        <item x="146"/>
        <item x="73"/>
        <item x="68"/>
        <item x="39"/>
        <item x="85"/>
        <item x="48"/>
        <item x="50"/>
        <item x="125"/>
        <item x="124"/>
        <item x="97"/>
        <item x="108"/>
        <item x="86"/>
        <item x="82"/>
        <item x="64"/>
        <item x="54"/>
        <item x="81"/>
        <item x="49"/>
        <item x="134"/>
        <item x="184"/>
        <item x="194"/>
        <item x="51"/>
        <item x="107"/>
        <item x="52"/>
        <item x="70"/>
        <item x="106"/>
        <item x="121"/>
        <item x="98"/>
        <item x="199"/>
        <item x="160"/>
        <item x="224"/>
        <item x="95"/>
        <item x="198"/>
        <item x="183"/>
        <item x="67"/>
        <item x="173"/>
        <item x="69"/>
        <item x="115"/>
        <item x="214"/>
        <item x="38"/>
        <item x="96"/>
        <item x="99"/>
        <item x="144"/>
        <item x="169"/>
        <item x="202"/>
        <item x="235"/>
        <item x="140"/>
        <item x="83"/>
        <item x="119"/>
        <item x="243"/>
        <item x="252"/>
        <item x="42"/>
        <item x="136"/>
        <item x="241"/>
        <item x="209"/>
        <item x="230"/>
        <item x="142"/>
        <item x="195"/>
        <item x="213"/>
        <item x="104"/>
        <item x="168"/>
        <item x="102"/>
        <item x="143"/>
        <item x="122"/>
        <item x="180"/>
        <item x="132"/>
        <item x="105"/>
        <item x="103"/>
        <item x="65"/>
        <item x="249"/>
        <item x="197"/>
        <item x="247"/>
        <item x="36"/>
        <item x="234"/>
        <item x="47"/>
        <item x="222"/>
        <item x="228"/>
        <item x="123"/>
        <item x="207"/>
        <item x="253"/>
        <item x="120"/>
        <item x="181"/>
        <item x="172"/>
        <item x="93"/>
        <item x="206"/>
        <item x="94"/>
        <item x="112"/>
        <item x="244"/>
        <item x="182"/>
        <item x="211"/>
        <item x="240"/>
        <item x="242"/>
        <item x="61"/>
        <item x="208"/>
        <item x="233"/>
        <item x="223"/>
        <item x="80"/>
        <item x="229"/>
        <item x="92"/>
        <item x="220"/>
        <item x="114"/>
        <item x="205"/>
        <item x="138"/>
        <item x="91"/>
        <item x="248"/>
        <item x="113"/>
        <item x="159"/>
        <item x="35"/>
        <item x="45"/>
        <item x="226"/>
        <item x="221"/>
        <item x="133"/>
        <item x="201"/>
        <item x="219"/>
        <item x="196"/>
        <item x="43"/>
        <item x="33"/>
        <item x="193"/>
        <item x="44"/>
        <item x="212"/>
        <item x="251"/>
        <item x="154"/>
        <item x="200"/>
        <item x="111"/>
        <item x="63"/>
        <item x="192"/>
        <item x="62"/>
        <item x="46"/>
        <item x="232"/>
        <item x="217"/>
        <item x="174"/>
        <item x="246"/>
        <item x="161"/>
        <item x="118"/>
        <item x="245"/>
        <item x="141"/>
        <item x="179"/>
        <item x="139"/>
        <item x="237"/>
        <item x="101"/>
        <item x="171"/>
        <item x="156"/>
        <item x="231"/>
        <item x="131"/>
        <item x="30"/>
        <item x="90"/>
        <item x="250"/>
        <item x="89"/>
        <item x="76"/>
        <item x="218"/>
        <item x="178"/>
        <item x="78"/>
        <item x="239"/>
        <item x="37"/>
        <item x="79"/>
        <item x="116"/>
        <item x="177"/>
        <item x="19"/>
        <item x="151"/>
        <item x="191"/>
        <item x="238"/>
        <item x="117"/>
        <item x="170"/>
        <item x="31"/>
        <item x="129"/>
        <item x="216"/>
        <item x="28"/>
        <item x="88"/>
        <item x="164"/>
        <item x="158"/>
        <item x="60"/>
        <item x="77"/>
        <item x="236"/>
        <item x="204"/>
        <item x="34"/>
        <item x="155"/>
        <item x="41"/>
        <item x="100"/>
        <item x="227"/>
        <item x="109"/>
        <item x="110"/>
        <item x="128"/>
        <item x="189"/>
        <item x="167"/>
        <item x="157"/>
        <item x="188"/>
        <item x="15"/>
        <item x="190"/>
        <item x="203"/>
        <item x="166"/>
        <item x="40"/>
        <item x="165"/>
        <item x="210"/>
        <item x="32"/>
        <item x="14"/>
        <item x="153"/>
        <item x="17"/>
        <item x="130"/>
        <item x="152"/>
        <item x="176"/>
        <item x="59"/>
        <item x="150"/>
        <item x="215"/>
        <item x="87"/>
        <item x="149"/>
        <item x="127"/>
        <item x="175"/>
        <item x="187"/>
        <item x="18"/>
        <item x="75"/>
        <item x="25"/>
        <item x="16"/>
        <item x="163"/>
        <item x="186"/>
        <item x="27"/>
        <item x="26"/>
        <item x="13"/>
        <item x="29"/>
        <item x="148"/>
        <item x="22"/>
        <item x="11"/>
        <item x="24"/>
        <item x="23"/>
        <item x="162"/>
        <item x="147"/>
        <item x="9"/>
        <item x="4"/>
        <item x="10"/>
        <item x="7"/>
        <item x="126"/>
        <item x="12"/>
        <item x="21"/>
        <item x="8"/>
        <item x="6"/>
        <item x="3"/>
        <item x="5"/>
        <item x="2"/>
        <item x="20"/>
        <item x="1"/>
        <item x="0"/>
      </items>
    </pivotField>
    <pivotField dataField="1" showAll="0" defaultSubtotal="0">
      <items count="613">
        <item x="332"/>
        <item x="70"/>
        <item x="139"/>
        <item x="125"/>
        <item x="522"/>
        <item x="39"/>
        <item x="55"/>
        <item x="173"/>
        <item x="265"/>
        <item x="228"/>
        <item x="408"/>
        <item x="168"/>
        <item x="375"/>
        <item x="170"/>
        <item x="341"/>
        <item x="56"/>
        <item x="189"/>
        <item x="141"/>
        <item x="172"/>
        <item x="279"/>
        <item x="38"/>
        <item x="541"/>
        <item x="612"/>
        <item x="119"/>
        <item x="73"/>
        <item x="603"/>
        <item x="19"/>
        <item x="229"/>
        <item x="586"/>
        <item x="71"/>
        <item x="54"/>
        <item x="216"/>
        <item x="140"/>
        <item x="36"/>
        <item x="190"/>
        <item x="354"/>
        <item x="478"/>
        <item x="410"/>
        <item x="171"/>
        <item x="53"/>
        <item x="107"/>
        <item x="15"/>
        <item x="319"/>
        <item x="84"/>
        <item x="106"/>
        <item x="214"/>
        <item x="167"/>
        <item x="153"/>
        <item x="185"/>
        <item x="243"/>
        <item x="202"/>
        <item x="35"/>
        <item x="14"/>
        <item x="85"/>
        <item x="17"/>
        <item x="303"/>
        <item x="490"/>
        <item x="33"/>
        <item x="244"/>
        <item x="528"/>
        <item x="86"/>
        <item x="137"/>
        <item x="288"/>
        <item x="204"/>
        <item x="521"/>
        <item x="330"/>
        <item x="237"/>
        <item x="266"/>
        <item x="241"/>
        <item x="384"/>
        <item x="72"/>
        <item x="556"/>
        <item x="277"/>
        <item x="240"/>
        <item x="67"/>
        <item x="476"/>
        <item x="304"/>
        <item x="156"/>
        <item x="257"/>
        <item x="457"/>
        <item x="30"/>
        <item x="385"/>
        <item x="87"/>
        <item x="434"/>
        <item x="81"/>
        <item x="509"/>
        <item x="18"/>
        <item x="383"/>
        <item x="479"/>
        <item x="100"/>
        <item x="37"/>
        <item x="88"/>
        <item x="65"/>
        <item x="103"/>
        <item x="215"/>
        <item x="49"/>
        <item x="227"/>
        <item x="169"/>
        <item x="366"/>
        <item x="16"/>
        <item x="274"/>
        <item x="242"/>
        <item x="135"/>
        <item x="477"/>
        <item x="256"/>
        <item x="31"/>
        <item x="491"/>
        <item x="121"/>
        <item x="320"/>
        <item x="28"/>
        <item x="278"/>
        <item x="80"/>
        <item x="264"/>
        <item x="124"/>
        <item x="317"/>
        <item x="480"/>
        <item x="138"/>
        <item x="405"/>
        <item x="165"/>
        <item x="422"/>
        <item x="364"/>
        <item x="381"/>
        <item x="34"/>
        <item x="342"/>
        <item x="566"/>
        <item x="13"/>
        <item x="117"/>
        <item x="433"/>
        <item x="374"/>
        <item x="201"/>
        <item x="550"/>
        <item x="132"/>
        <item x="318"/>
        <item x="52"/>
        <item x="154"/>
        <item x="446"/>
        <item x="211"/>
        <item x="594"/>
        <item x="226"/>
        <item x="301"/>
        <item x="382"/>
        <item x="152"/>
        <item x="367"/>
        <item x="48"/>
        <item x="101"/>
        <item x="11"/>
        <item x="331"/>
        <item x="542"/>
        <item x="258"/>
        <item x="188"/>
        <item x="585"/>
        <item x="116"/>
        <item x="197"/>
        <item x="186"/>
        <item x="458"/>
        <item x="98"/>
        <item x="123"/>
        <item x="287"/>
        <item x="50"/>
        <item x="150"/>
        <item x="397"/>
        <item x="340"/>
        <item x="455"/>
        <item x="69"/>
        <item x="51"/>
        <item x="534"/>
        <item x="574"/>
        <item x="423"/>
        <item x="182"/>
        <item x="104"/>
        <item x="203"/>
        <item x="254"/>
        <item x="469"/>
        <item x="122"/>
        <item x="489"/>
        <item x="409"/>
        <item x="363"/>
        <item x="105"/>
        <item x="302"/>
        <item x="32"/>
        <item x="99"/>
        <item x="149"/>
        <item x="467"/>
        <item x="102"/>
        <item x="255"/>
        <item x="339"/>
        <item x="444"/>
        <item x="82"/>
        <item x="402"/>
        <item x="120"/>
        <item x="166"/>
        <item x="365"/>
        <item x="314"/>
        <item x="199"/>
        <item x="432"/>
        <item x="285"/>
        <item x="83"/>
        <item x="250"/>
        <item x="239"/>
        <item x="421"/>
        <item x="95"/>
        <item x="66"/>
        <item x="275"/>
        <item x="181"/>
        <item x="539"/>
        <item x="558"/>
        <item x="520"/>
        <item x="567"/>
        <item x="68"/>
        <item x="445"/>
        <item x="611"/>
        <item x="420"/>
        <item x="394"/>
        <item x="118"/>
        <item x="508"/>
        <item x="155"/>
        <item x="313"/>
        <item x="9"/>
        <item x="519"/>
        <item x="500"/>
        <item x="486"/>
        <item x="4"/>
        <item x="309"/>
        <item x="300"/>
        <item x="456"/>
        <item x="147"/>
        <item x="510"/>
        <item x="338"/>
        <item x="115"/>
        <item x="251"/>
        <item x="299"/>
        <item x="372"/>
        <item x="151"/>
        <item x="501"/>
        <item x="418"/>
        <item x="593"/>
        <item x="276"/>
        <item x="286"/>
        <item x="296"/>
        <item x="475"/>
        <item x="395"/>
        <item x="298"/>
        <item x="463"/>
        <item x="221"/>
        <item x="347"/>
        <item x="136"/>
        <item x="316"/>
        <item x="396"/>
        <item x="442"/>
        <item x="565"/>
        <item x="10"/>
        <item x="487"/>
        <item x="196"/>
        <item x="468"/>
        <item x="324"/>
        <item x="391"/>
        <item x="269"/>
        <item x="213"/>
        <item x="353"/>
        <item x="443"/>
        <item x="200"/>
        <item x="407"/>
        <item x="224"/>
        <item x="238"/>
        <item x="602"/>
        <item x="163"/>
        <item x="7"/>
        <item x="12"/>
        <item x="557"/>
        <item x="134"/>
        <item x="488"/>
        <item x="42"/>
        <item x="453"/>
        <item x="466"/>
        <item x="526"/>
        <item x="601"/>
        <item x="327"/>
        <item x="419"/>
        <item x="392"/>
        <item x="225"/>
        <item x="578"/>
        <item x="352"/>
        <item x="572"/>
        <item x="198"/>
        <item x="507"/>
        <item x="359"/>
        <item x="297"/>
        <item x="236"/>
        <item x="610"/>
        <item x="549"/>
        <item x="579"/>
        <item x="329"/>
        <item x="393"/>
        <item x="283"/>
        <item x="252"/>
        <item x="295"/>
        <item x="484"/>
        <item x="312"/>
        <item x="564"/>
        <item x="25"/>
        <item x="187"/>
        <item x="96"/>
        <item x="337"/>
        <item x="360"/>
        <item x="97"/>
        <item x="164"/>
        <item x="373"/>
        <item x="441"/>
        <item x="506"/>
        <item x="253"/>
        <item x="431"/>
        <item x="452"/>
        <item x="527"/>
        <item x="79"/>
        <item x="540"/>
        <item x="212"/>
        <item x="249"/>
        <item x="64"/>
        <item x="517"/>
        <item x="573"/>
        <item x="176"/>
        <item x="465"/>
        <item x="351"/>
        <item x="362"/>
        <item x="518"/>
        <item x="145"/>
        <item x="160"/>
        <item x="292"/>
        <item x="390"/>
        <item x="414"/>
        <item x="315"/>
        <item x="454"/>
        <item x="358"/>
        <item x="547"/>
        <item x="273"/>
        <item x="430"/>
        <item x="263"/>
        <item x="533"/>
        <item x="207"/>
        <item x="570"/>
        <item x="63"/>
        <item x="311"/>
        <item x="440"/>
        <item x="94"/>
        <item x="499"/>
        <item x="183"/>
        <item x="416"/>
        <item x="47"/>
        <item x="27"/>
        <item x="563"/>
        <item x="583"/>
        <item x="328"/>
        <item x="523"/>
        <item x="361"/>
        <item x="473"/>
        <item x="93"/>
        <item x="8"/>
        <item x="26"/>
        <item x="571"/>
        <item x="380"/>
        <item x="178"/>
        <item x="417"/>
        <item x="451"/>
        <item x="577"/>
        <item x="464"/>
        <item x="6"/>
        <item x="592"/>
        <item x="3"/>
        <item x="548"/>
        <item x="406"/>
        <item x="537"/>
        <item x="113"/>
        <item x="29"/>
        <item x="609"/>
        <item x="110"/>
        <item x="180"/>
        <item x="308"/>
        <item x="22"/>
        <item x="235"/>
        <item x="580"/>
        <item x="401"/>
        <item x="195"/>
        <item x="498"/>
        <item x="504"/>
        <item x="59"/>
        <item x="234"/>
        <item x="184"/>
        <item x="294"/>
        <item x="344"/>
        <item x="161"/>
        <item x="130"/>
        <item x="159"/>
        <item x="538"/>
        <item x="210"/>
        <item x="114"/>
        <item x="293"/>
        <item x="545"/>
        <item x="112"/>
        <item x="605"/>
        <item x="223"/>
        <item x="24"/>
        <item x="271"/>
        <item x="194"/>
        <item x="600"/>
        <item x="439"/>
        <item x="5"/>
        <item x="568"/>
        <item x="589"/>
        <item x="495"/>
        <item x="404"/>
        <item x="389"/>
        <item x="23"/>
        <item x="516"/>
        <item x="411"/>
        <item x="209"/>
        <item x="148"/>
        <item x="325"/>
        <item x="370"/>
        <item x="133"/>
        <item x="429"/>
        <item x="222"/>
        <item x="505"/>
        <item x="349"/>
        <item x="326"/>
        <item x="378"/>
        <item x="371"/>
        <item x="272"/>
        <item x="555"/>
        <item x="45"/>
        <item x="284"/>
        <item x="146"/>
        <item x="438"/>
        <item x="262"/>
        <item x="131"/>
        <item x="582"/>
        <item x="525"/>
        <item x="310"/>
        <item x="220"/>
        <item x="208"/>
        <item x="2"/>
        <item x="348"/>
        <item x="62"/>
        <item x="270"/>
        <item x="474"/>
        <item x="584"/>
        <item x="598"/>
        <item x="111"/>
        <item x="493"/>
        <item x="560"/>
        <item x="43"/>
        <item x="290"/>
        <item x="514"/>
        <item x="75"/>
        <item x="447"/>
        <item x="248"/>
        <item x="435"/>
        <item x="336"/>
        <item x="44"/>
        <item x="485"/>
        <item x="497"/>
        <item x="561"/>
        <item x="193"/>
        <item x="424"/>
        <item x="546"/>
        <item x="496"/>
        <item x="599"/>
        <item x="413"/>
        <item x="403"/>
        <item x="128"/>
        <item x="247"/>
        <item x="511"/>
        <item x="379"/>
        <item x="61"/>
        <item x="77"/>
        <item x="350"/>
        <item x="92"/>
        <item x="232"/>
        <item x="530"/>
        <item x="219"/>
        <item x="515"/>
        <item x="162"/>
        <item x="91"/>
        <item x="60"/>
        <item x="531"/>
        <item x="179"/>
        <item x="471"/>
        <item x="231"/>
        <item x="437"/>
        <item x="554"/>
        <item x="46"/>
        <item x="513"/>
        <item x="590"/>
        <item x="129"/>
        <item x="78"/>
        <item x="174"/>
        <item x="346"/>
        <item x="459"/>
        <item x="427"/>
        <item x="233"/>
        <item x="591"/>
        <item x="307"/>
        <item x="608"/>
        <item x="462"/>
        <item x="532"/>
        <item x="357"/>
        <item x="400"/>
        <item x="425"/>
        <item x="450"/>
        <item x="596"/>
        <item x="323"/>
        <item x="388"/>
        <item x="428"/>
        <item x="581"/>
        <item x="261"/>
        <item x="291"/>
        <item x="415"/>
        <item x="553"/>
        <item x="569"/>
        <item x="588"/>
        <item x="607"/>
        <item x="76"/>
        <item x="597"/>
        <item x="562"/>
        <item x="551"/>
        <item x="494"/>
        <item x="449"/>
        <item x="90"/>
        <item x="436"/>
        <item x="503"/>
        <item x="552"/>
        <item x="512"/>
        <item x="483"/>
        <item x="576"/>
        <item x="535"/>
        <item x="158"/>
        <item x="387"/>
        <item x="461"/>
        <item x="386"/>
        <item x="482"/>
        <item x="412"/>
        <item x="426"/>
        <item x="536"/>
        <item x="21"/>
        <item x="472"/>
        <item x="144"/>
        <item x="282"/>
        <item x="335"/>
        <item x="448"/>
        <item x="177"/>
        <item x="460"/>
        <item x="246"/>
        <item x="175"/>
        <item x="481"/>
        <item x="333"/>
        <item x="356"/>
        <item x="1"/>
        <item x="606"/>
        <item x="192"/>
        <item x="559"/>
        <item x="109"/>
        <item x="587"/>
        <item x="575"/>
        <item x="604"/>
        <item x="58"/>
        <item x="334"/>
        <item x="524"/>
        <item x="281"/>
        <item x="206"/>
        <item x="280"/>
        <item x="345"/>
        <item x="595"/>
        <item x="369"/>
        <item x="470"/>
        <item x="355"/>
        <item x="399"/>
        <item x="377"/>
        <item x="502"/>
        <item x="306"/>
        <item x="41"/>
        <item x="398"/>
        <item x="230"/>
        <item x="142"/>
        <item x="218"/>
        <item x="321"/>
        <item x="492"/>
        <item x="322"/>
        <item x="143"/>
        <item x="268"/>
        <item x="260"/>
        <item x="289"/>
        <item x="245"/>
        <item x="376"/>
        <item x="126"/>
        <item x="544"/>
        <item x="127"/>
        <item x="259"/>
        <item x="343"/>
        <item x="305"/>
        <item x="191"/>
        <item x="543"/>
        <item x="0"/>
        <item x="529"/>
        <item x="40"/>
        <item x="267"/>
        <item x="108"/>
        <item x="217"/>
        <item x="368"/>
        <item x="89"/>
        <item x="57"/>
        <item x="205"/>
        <item x="20"/>
        <item x="74"/>
        <item x="157"/>
      </items>
    </pivotField>
    <pivotField dataField="1" showAll="0" defaultSubtotal="0">
      <items count="201">
        <item x="188"/>
        <item x="114"/>
        <item x="179"/>
        <item x="181"/>
        <item x="187"/>
        <item x="180"/>
        <item x="178"/>
        <item x="88"/>
        <item x="175"/>
        <item x="93"/>
        <item x="77"/>
        <item x="184"/>
        <item x="101"/>
        <item x="103"/>
        <item x="176"/>
        <item x="92"/>
        <item x="87"/>
        <item x="192"/>
        <item x="133"/>
        <item x="177"/>
        <item x="80"/>
        <item x="63"/>
        <item x="100"/>
        <item x="70"/>
        <item x="108"/>
        <item x="69"/>
        <item x="102"/>
        <item x="91"/>
        <item x="99"/>
        <item x="72"/>
        <item x="83"/>
        <item x="46"/>
        <item x="183"/>
        <item x="68"/>
        <item x="113"/>
        <item x="71"/>
        <item x="66"/>
        <item x="186"/>
        <item x="90"/>
        <item x="55"/>
        <item x="59"/>
        <item x="64"/>
        <item x="53"/>
        <item x="94"/>
        <item x="60"/>
        <item x="164"/>
        <item x="58"/>
        <item x="74"/>
        <item x="95"/>
        <item x="52"/>
        <item x="97"/>
        <item x="84"/>
        <item x="89"/>
        <item x="159"/>
        <item x="57"/>
        <item x="107"/>
        <item x="56"/>
        <item x="47"/>
        <item x="200"/>
        <item x="54"/>
        <item x="50"/>
        <item x="82"/>
        <item x="112"/>
        <item x="111"/>
        <item x="121"/>
        <item x="40"/>
        <item x="106"/>
        <item x="81"/>
        <item x="51"/>
        <item x="165"/>
        <item x="45"/>
        <item x="86"/>
        <item x="62"/>
        <item x="193"/>
        <item x="49"/>
        <item x="197"/>
        <item x="162"/>
        <item x="174"/>
        <item x="98"/>
        <item x="44"/>
        <item x="104"/>
        <item x="78"/>
        <item x="79"/>
        <item x="132"/>
        <item x="67"/>
        <item x="131"/>
        <item x="199"/>
        <item x="75"/>
        <item x="65"/>
        <item x="76"/>
        <item x="43"/>
        <item x="149"/>
        <item x="85"/>
        <item x="160"/>
        <item x="147"/>
        <item x="170"/>
        <item x="195"/>
        <item x="128"/>
        <item x="41"/>
        <item x="123"/>
        <item x="158"/>
        <item x="140"/>
        <item x="148"/>
        <item x="105"/>
        <item x="134"/>
        <item x="110"/>
        <item x="189"/>
        <item x="96"/>
        <item x="173"/>
        <item x="48"/>
        <item x="157"/>
        <item x="198"/>
        <item x="169"/>
        <item x="109"/>
        <item x="120"/>
        <item x="152"/>
        <item x="155"/>
        <item x="143"/>
        <item x="61"/>
        <item x="190"/>
        <item x="161"/>
        <item x="129"/>
        <item x="150"/>
        <item x="130"/>
        <item x="73"/>
        <item x="139"/>
        <item x="196"/>
        <item x="127"/>
        <item x="185"/>
        <item x="146"/>
        <item x="171"/>
        <item x="122"/>
        <item x="166"/>
        <item x="29"/>
        <item x="163"/>
        <item x="182"/>
        <item x="145"/>
        <item x="116"/>
        <item x="125"/>
        <item x="144"/>
        <item x="191"/>
        <item x="124"/>
        <item x="135"/>
        <item x="126"/>
        <item x="151"/>
        <item x="141"/>
        <item x="142"/>
        <item x="168"/>
        <item x="194"/>
        <item x="156"/>
        <item x="172"/>
        <item x="42"/>
        <item x="115"/>
        <item x="153"/>
        <item x="154"/>
        <item x="37"/>
        <item x="32"/>
        <item x="137"/>
        <item x="27"/>
        <item x="136"/>
        <item x="26"/>
        <item x="119"/>
        <item x="8"/>
        <item x="39"/>
        <item x="34"/>
        <item x="35"/>
        <item x="36"/>
        <item x="117"/>
        <item x="38"/>
        <item x="167"/>
        <item x="118"/>
        <item x="20"/>
        <item x="31"/>
        <item x="21"/>
        <item x="138"/>
        <item x="24"/>
        <item x="33"/>
        <item x="30"/>
        <item x="18"/>
        <item x="12"/>
        <item x="25"/>
        <item x="16"/>
        <item x="23"/>
        <item x="28"/>
        <item x="17"/>
        <item x="6"/>
        <item x="13"/>
        <item x="19"/>
        <item x="0"/>
        <item x="10"/>
        <item x="15"/>
        <item x="5"/>
        <item x="14"/>
        <item x="22"/>
        <item x="1"/>
        <item x="9"/>
        <item x="7"/>
        <item x="11"/>
        <item x="2"/>
        <item x="3"/>
        <item x="4"/>
      </items>
    </pivotField>
    <pivotField dataField="1" showAll="0" defaultSubtotal="0">
      <items count="486">
        <item x="273"/>
        <item x="149"/>
        <item x="400"/>
        <item x="311"/>
        <item x="382"/>
        <item x="304"/>
        <item x="329"/>
        <item x="386"/>
        <item x="399"/>
        <item x="284"/>
        <item x="391"/>
        <item x="242"/>
        <item x="450"/>
        <item x="406"/>
        <item x="282"/>
        <item x="427"/>
        <item x="292"/>
        <item x="97"/>
        <item x="334"/>
        <item x="191"/>
        <item x="82"/>
        <item x="245"/>
        <item x="296"/>
        <item x="402"/>
        <item x="354"/>
        <item x="177"/>
        <item x="285"/>
        <item x="194"/>
        <item x="104"/>
        <item x="270"/>
        <item x="343"/>
        <item x="142"/>
        <item x="302"/>
        <item x="389"/>
        <item x="283"/>
        <item x="373"/>
        <item x="8"/>
        <item x="112"/>
        <item x="453"/>
        <item x="385"/>
        <item x="410"/>
        <item x="295"/>
        <item x="423"/>
        <item x="365"/>
        <item x="120"/>
        <item x="428"/>
        <item x="252"/>
        <item x="179"/>
        <item x="260"/>
        <item x="244"/>
        <item x="219"/>
        <item x="29"/>
        <item x="208"/>
        <item x="415"/>
        <item x="266"/>
        <item x="228"/>
        <item x="117"/>
        <item x="293"/>
        <item x="359"/>
        <item x="103"/>
        <item x="347"/>
        <item x="211"/>
        <item x="157"/>
        <item x="85"/>
        <item x="119"/>
        <item x="439"/>
        <item x="96"/>
        <item x="277"/>
        <item x="446"/>
        <item x="477"/>
        <item x="125"/>
        <item x="312"/>
        <item x="335"/>
        <item x="264"/>
        <item x="417"/>
        <item x="377"/>
        <item x="422"/>
        <item x="279"/>
        <item x="331"/>
        <item x="255"/>
        <item x="221"/>
        <item x="431"/>
        <item x="46"/>
        <item x="271"/>
        <item x="263"/>
        <item x="173"/>
        <item x="148"/>
        <item x="18"/>
        <item x="254"/>
        <item x="63"/>
        <item x="91"/>
        <item x="378"/>
        <item x="392"/>
        <item x="421"/>
        <item x="12"/>
        <item x="129"/>
        <item x="256"/>
        <item x="151"/>
        <item x="171"/>
        <item x="72"/>
        <item x="16"/>
        <item x="205"/>
        <item x="481"/>
        <item x="395"/>
        <item x="303"/>
        <item x="235"/>
        <item x="196"/>
        <item x="135"/>
        <item x="137"/>
        <item x="54"/>
        <item x="243"/>
        <item x="71"/>
        <item x="37"/>
        <item x="310"/>
        <item x="348"/>
        <item x="370"/>
        <item x="414"/>
        <item x="346"/>
        <item x="167"/>
        <item x="476"/>
        <item x="150"/>
        <item x="134"/>
        <item x="52"/>
        <item x="233"/>
        <item x="166"/>
        <item x="80"/>
        <item x="159"/>
        <item x="319"/>
        <item x="187"/>
        <item x="246"/>
        <item x="115"/>
        <item x="356"/>
        <item x="197"/>
        <item x="17"/>
        <item x="32"/>
        <item x="90"/>
        <item x="452"/>
        <item x="74"/>
        <item x="182"/>
        <item x="57"/>
        <item x="374"/>
        <item x="27"/>
        <item x="272"/>
        <item x="164"/>
        <item x="217"/>
        <item x="6"/>
        <item x="198"/>
        <item x="309"/>
        <item x="333"/>
        <item x="181"/>
        <item x="13"/>
        <item x="234"/>
        <item x="51"/>
        <item x="165"/>
        <item x="26"/>
        <item x="355"/>
        <item x="345"/>
        <item x="390"/>
        <item x="323"/>
        <item x="206"/>
        <item x="19"/>
        <item x="69"/>
        <item x="372"/>
        <item x="118"/>
        <item x="236"/>
        <item x="445"/>
        <item x="75"/>
        <item x="156"/>
        <item x="297"/>
        <item x="56"/>
        <item x="39"/>
        <item x="0"/>
        <item x="265"/>
        <item x="10"/>
        <item x="34"/>
        <item x="35"/>
        <item x="212"/>
        <item x="55"/>
        <item x="111"/>
        <item x="66"/>
        <item x="36"/>
        <item x="47"/>
        <item x="332"/>
        <item x="231"/>
        <item x="38"/>
        <item x="434"/>
        <item x="411"/>
        <item x="357"/>
        <item x="381"/>
        <item x="210"/>
        <item x="53"/>
        <item x="15"/>
        <item x="50"/>
        <item x="116"/>
        <item x="318"/>
        <item x="77"/>
        <item x="132"/>
        <item x="186"/>
        <item x="169"/>
        <item x="471"/>
        <item x="146"/>
        <item x="58"/>
        <item x="209"/>
        <item x="224"/>
        <item x="88"/>
        <item x="366"/>
        <item x="195"/>
        <item x="416"/>
        <item x="278"/>
        <item x="64"/>
        <item x="363"/>
        <item x="40"/>
        <item x="162"/>
        <item x="465"/>
        <item x="441"/>
        <item x="330"/>
        <item x="371"/>
        <item x="207"/>
        <item x="222"/>
        <item x="5"/>
        <item x="201"/>
        <item x="101"/>
        <item x="232"/>
        <item x="280"/>
        <item x="59"/>
        <item x="339"/>
        <item x="127"/>
        <item x="174"/>
        <item x="438"/>
        <item x="193"/>
        <item x="158"/>
        <item x="20"/>
        <item x="14"/>
        <item x="31"/>
        <item x="21"/>
        <item x="105"/>
        <item x="163"/>
        <item x="180"/>
        <item x="336"/>
        <item x="45"/>
        <item x="322"/>
        <item x="424"/>
        <item x="89"/>
        <item x="281"/>
        <item x="131"/>
        <item x="192"/>
        <item x="344"/>
        <item x="153"/>
        <item x="87"/>
        <item x="24"/>
        <item x="1"/>
        <item x="73"/>
        <item x="253"/>
        <item x="472"/>
        <item x="49"/>
        <item x="33"/>
        <item x="407"/>
        <item x="9"/>
        <item x="321"/>
        <item x="183"/>
        <item x="379"/>
        <item x="364"/>
        <item x="147"/>
        <item x="397"/>
        <item x="317"/>
        <item x="160"/>
        <item x="301"/>
        <item x="328"/>
        <item x="30"/>
        <item x="262"/>
        <item x="102"/>
        <item x="320"/>
        <item x="352"/>
        <item x="241"/>
        <item x="44"/>
        <item x="188"/>
        <item x="380"/>
        <item x="307"/>
        <item x="294"/>
        <item x="215"/>
        <item x="257"/>
        <item x="190"/>
        <item x="161"/>
        <item x="92"/>
        <item x="444"/>
        <item x="7"/>
        <item x="113"/>
        <item x="98"/>
        <item x="396"/>
        <item x="463"/>
        <item x="409"/>
        <item x="62"/>
        <item x="223"/>
        <item x="178"/>
        <item x="461"/>
        <item x="86"/>
        <item x="349"/>
        <item x="248"/>
        <item x="485"/>
        <item x="79"/>
        <item x="291"/>
        <item x="70"/>
        <item x="220"/>
        <item x="314"/>
        <item x="95"/>
        <item x="133"/>
        <item x="286"/>
        <item x="141"/>
        <item x="11"/>
        <item x="43"/>
        <item x="100"/>
        <item x="128"/>
        <item x="239"/>
        <item x="456"/>
        <item x="106"/>
        <item x="475"/>
        <item x="398"/>
        <item x="130"/>
        <item x="114"/>
        <item x="145"/>
        <item x="447"/>
        <item x="308"/>
        <item x="108"/>
        <item x="172"/>
        <item x="144"/>
        <item x="267"/>
        <item x="99"/>
        <item x="229"/>
        <item x="121"/>
        <item x="176"/>
        <item x="468"/>
        <item x="213"/>
        <item x="362"/>
        <item x="25"/>
        <item x="175"/>
        <item x="136"/>
        <item x="41"/>
        <item x="225"/>
        <item x="200"/>
        <item x="152"/>
        <item x="109"/>
        <item x="451"/>
        <item x="83"/>
        <item x="484"/>
        <item x="341"/>
        <item x="84"/>
        <item x="249"/>
        <item x="300"/>
        <item x="276"/>
        <item x="126"/>
        <item x="404"/>
        <item x="433"/>
        <item x="78"/>
        <item x="61"/>
        <item x="143"/>
        <item x="204"/>
        <item x="351"/>
        <item x="81"/>
        <item x="189"/>
        <item x="68"/>
        <item x="342"/>
        <item x="327"/>
        <item x="94"/>
        <item x="261"/>
        <item x="443"/>
        <item x="48"/>
        <item x="483"/>
        <item x="460"/>
        <item x="23"/>
        <item x="28"/>
        <item x="290"/>
        <item x="251"/>
        <item x="139"/>
        <item x="287"/>
        <item x="250"/>
        <item x="67"/>
        <item x="227"/>
        <item x="405"/>
        <item x="65"/>
        <item x="455"/>
        <item x="358"/>
        <item x="448"/>
        <item x="184"/>
        <item x="123"/>
        <item x="315"/>
        <item x="269"/>
        <item x="2"/>
        <item x="202"/>
        <item x="464"/>
        <item x="325"/>
        <item x="470"/>
        <item x="203"/>
        <item x="230"/>
        <item x="214"/>
        <item x="367"/>
        <item x="376"/>
        <item x="93"/>
        <item x="467"/>
        <item x="110"/>
        <item x="288"/>
        <item x="337"/>
        <item x="218"/>
        <item x="240"/>
        <item x="437"/>
        <item x="168"/>
        <item x="426"/>
        <item x="170"/>
        <item x="154"/>
        <item x="324"/>
        <item x="3"/>
        <item x="216"/>
        <item x="4"/>
        <item x="457"/>
        <item x="140"/>
        <item x="306"/>
        <item x="340"/>
        <item x="238"/>
        <item x="420"/>
        <item x="482"/>
        <item x="76"/>
        <item x="429"/>
        <item x="353"/>
        <item x="360"/>
        <item x="124"/>
        <item x="361"/>
        <item x="155"/>
        <item x="368"/>
        <item x="138"/>
        <item x="22"/>
        <item x="478"/>
        <item x="375"/>
        <item x="268"/>
        <item x="394"/>
        <item x="237"/>
        <item x="442"/>
        <item x="289"/>
        <item x="436"/>
        <item x="185"/>
        <item x="458"/>
        <item x="60"/>
        <item x="316"/>
        <item x="199"/>
        <item x="274"/>
        <item x="474"/>
        <item x="425"/>
        <item x="259"/>
        <item x="326"/>
        <item x="258"/>
        <item x="418"/>
        <item x="384"/>
        <item x="107"/>
        <item x="369"/>
        <item x="299"/>
        <item x="275"/>
        <item x="122"/>
        <item x="412"/>
        <item x="350"/>
        <item x="42"/>
        <item x="298"/>
        <item x="401"/>
        <item x="338"/>
        <item x="440"/>
        <item x="403"/>
        <item x="226"/>
        <item x="387"/>
        <item x="449"/>
        <item x="459"/>
        <item x="393"/>
        <item x="305"/>
        <item x="430"/>
        <item x="466"/>
        <item x="408"/>
        <item x="313"/>
        <item x="388"/>
        <item x="432"/>
        <item x="413"/>
        <item x="419"/>
        <item x="383"/>
        <item x="479"/>
        <item x="462"/>
        <item x="247"/>
        <item x="469"/>
        <item x="454"/>
        <item x="473"/>
        <item x="480"/>
        <item x="435"/>
      </items>
    </pivotField>
    <pivotField dataField="1" showAll="0" defaultSubtotal="0">
      <items count="13">
        <item x="1"/>
        <item x="4"/>
        <item x="8"/>
        <item x="7"/>
        <item x="10"/>
        <item x="12"/>
        <item x="9"/>
        <item x="2"/>
        <item x="0"/>
        <item x="11"/>
        <item x="5"/>
        <item x="3"/>
        <item x="6"/>
      </items>
    </pivotField>
    <pivotField showAll="0" defaultSubtotal="0">
      <items count="41">
        <item x="1"/>
        <item x="4"/>
        <item x="8"/>
        <item x="7"/>
        <item x="14"/>
        <item x="10"/>
        <item x="9"/>
        <item x="12"/>
        <item x="2"/>
        <item x="26"/>
        <item x="0"/>
        <item x="28"/>
        <item x="35"/>
        <item x="15"/>
        <item x="5"/>
        <item x="24"/>
        <item x="32"/>
        <item x="3"/>
        <item x="30"/>
        <item x="40"/>
        <item x="34"/>
        <item x="27"/>
        <item x="31"/>
        <item x="11"/>
        <item x="6"/>
        <item x="17"/>
        <item x="25"/>
        <item x="19"/>
        <item x="36"/>
        <item x="29"/>
        <item x="22"/>
        <item x="13"/>
        <item x="39"/>
        <item x="21"/>
        <item x="20"/>
        <item x="16"/>
        <item x="33"/>
        <item x="23"/>
        <item x="37"/>
        <item x="18"/>
        <item x="38"/>
      </items>
    </pivotField>
  </pivotFields>
  <rowFields count="3">
    <field x="5"/>
    <field x="10"/>
    <field x="9"/>
  </rowFields>
  <rowItems count="1152">
    <i>
      <x/>
    </i>
    <i r="1">
      <x/>
      <x v="38"/>
    </i>
    <i r="1">
      <x v="1"/>
      <x v="40"/>
    </i>
    <i r="1">
      <x v="2"/>
      <x v="30"/>
    </i>
    <i r="1">
      <x v="3"/>
      <x v="34"/>
    </i>
    <i r="1">
      <x v="4"/>
      <x/>
    </i>
    <i r="1">
      <x v="5"/>
      <x v="28"/>
    </i>
    <i r="1">
      <x v="6"/>
      <x v="43"/>
    </i>
    <i r="1">
      <x v="7"/>
      <x v="27"/>
    </i>
    <i r="1">
      <x v="8"/>
      <x v="44"/>
    </i>
    <i r="1">
      <x v="9"/>
      <x v="1"/>
    </i>
    <i r="1">
      <x v="10"/>
      <x v="29"/>
    </i>
    <i r="1">
      <x v="11"/>
      <x v="2"/>
    </i>
    <i r="1">
      <x v="12"/>
      <x v="35"/>
    </i>
    <i r="1">
      <x v="13"/>
      <x v="36"/>
    </i>
    <i r="1">
      <x v="14"/>
      <x v="33"/>
    </i>
    <i r="1">
      <x v="15"/>
      <x v="24"/>
    </i>
    <i r="1">
      <x v="16"/>
      <x v="13"/>
    </i>
    <i r="1">
      <x v="17"/>
      <x v="26"/>
    </i>
    <i r="1">
      <x v="18"/>
      <x v="41"/>
    </i>
    <i r="1">
      <x v="19"/>
      <x v="25"/>
    </i>
    <i t="blank">
      <x/>
    </i>
    <i>
      <x v="1"/>
    </i>
    <i r="1">
      <x/>
      <x v="38"/>
    </i>
    <i r="1">
      <x v="1"/>
      <x v="40"/>
    </i>
    <i r="1">
      <x v="2"/>
      <x v="34"/>
    </i>
    <i r="1">
      <x v="3"/>
      <x v="30"/>
    </i>
    <i r="1">
      <x v="4"/>
      <x v="28"/>
    </i>
    <i r="1">
      <x v="5"/>
      <x v="27"/>
    </i>
    <i r="1">
      <x v="6"/>
      <x v="35"/>
    </i>
    <i r="1">
      <x v="7"/>
      <x v="43"/>
    </i>
    <i r="1">
      <x v="8"/>
      <x/>
    </i>
    <i r="1">
      <x v="9"/>
      <x v="44"/>
    </i>
    <i r="1">
      <x v="10"/>
      <x v="2"/>
    </i>
    <i r="1">
      <x v="11"/>
      <x v="1"/>
    </i>
    <i r="1">
      <x v="12"/>
      <x v="29"/>
    </i>
    <i r="1">
      <x v="13"/>
      <x v="33"/>
    </i>
    <i r="1">
      <x v="14"/>
      <x v="36"/>
    </i>
    <i r="1">
      <x v="15"/>
      <x v="26"/>
    </i>
    <i r="1">
      <x v="16"/>
      <x v="24"/>
    </i>
    <i r="1">
      <x v="17"/>
      <x v="41"/>
    </i>
    <i r="1">
      <x v="18"/>
      <x v="25"/>
    </i>
    <i r="1">
      <x v="19"/>
      <x v="45"/>
    </i>
    <i t="blank">
      <x v="1"/>
    </i>
    <i>
      <x v="2"/>
    </i>
    <i r="1">
      <x/>
      <x v="38"/>
    </i>
    <i r="1">
      <x v="1"/>
      <x v="40"/>
    </i>
    <i r="1">
      <x v="2"/>
      <x v="34"/>
    </i>
    <i r="1">
      <x v="3"/>
      <x v="30"/>
    </i>
    <i r="1">
      <x v="4"/>
      <x v="43"/>
    </i>
    <i r="1">
      <x v="5"/>
      <x v="28"/>
    </i>
    <i r="1">
      <x v="6"/>
      <x v="44"/>
    </i>
    <i r="1">
      <x v="7"/>
      <x v="27"/>
    </i>
    <i r="1">
      <x v="8"/>
      <x/>
    </i>
    <i r="1">
      <x v="9"/>
      <x v="35"/>
    </i>
    <i r="1">
      <x v="10"/>
      <x v="1"/>
    </i>
    <i r="2">
      <x v="33"/>
    </i>
    <i r="1">
      <x v="12"/>
      <x v="29"/>
    </i>
    <i r="1">
      <x v="13"/>
      <x v="36"/>
    </i>
    <i r="1">
      <x v="14"/>
      <x v="2"/>
    </i>
    <i r="1">
      <x v="15"/>
      <x v="41"/>
    </i>
    <i r="1">
      <x v="16"/>
      <x v="23"/>
    </i>
    <i r="1">
      <x v="17"/>
      <x v="26"/>
    </i>
    <i r="1">
      <x v="18"/>
      <x v="20"/>
    </i>
    <i r="1">
      <x v="19"/>
      <x v="48"/>
    </i>
    <i t="blank">
      <x v="2"/>
    </i>
    <i>
      <x v="3"/>
    </i>
    <i r="1">
      <x/>
      <x v="38"/>
    </i>
    <i r="1">
      <x v="1"/>
      <x v="40"/>
    </i>
    <i r="1">
      <x v="2"/>
      <x v="34"/>
    </i>
    <i r="1">
      <x v="3"/>
      <x v="30"/>
    </i>
    <i r="1">
      <x v="4"/>
      <x v="28"/>
    </i>
    <i r="1">
      <x v="5"/>
      <x v="44"/>
    </i>
    <i r="1">
      <x v="6"/>
      <x v="43"/>
    </i>
    <i r="1">
      <x v="7"/>
      <x/>
    </i>
    <i r="1">
      <x v="8"/>
      <x v="27"/>
    </i>
    <i r="1">
      <x v="9"/>
      <x v="33"/>
    </i>
    <i r="1">
      <x v="10"/>
      <x v="2"/>
    </i>
    <i r="1">
      <x v="11"/>
      <x v="29"/>
    </i>
    <i r="1">
      <x v="12"/>
      <x v="1"/>
    </i>
    <i r="1">
      <x v="13"/>
      <x v="35"/>
    </i>
    <i r="1">
      <x v="14"/>
      <x v="36"/>
    </i>
    <i r="1">
      <x v="15"/>
      <x v="45"/>
    </i>
    <i r="1">
      <x v="16"/>
      <x v="24"/>
    </i>
    <i r="1">
      <x v="17"/>
      <x v="26"/>
    </i>
    <i r="2">
      <x v="41"/>
    </i>
    <i r="1">
      <x v="19"/>
      <x v="25"/>
    </i>
    <i r="2">
      <x v="48"/>
    </i>
    <i t="blank">
      <x v="3"/>
    </i>
    <i>
      <x v="4"/>
    </i>
    <i r="1">
      <x/>
      <x v="38"/>
    </i>
    <i r="1">
      <x v="1"/>
      <x v="34"/>
    </i>
    <i r="1">
      <x v="2"/>
      <x v="40"/>
    </i>
    <i r="1">
      <x v="3"/>
      <x v="30"/>
    </i>
    <i r="1">
      <x v="4"/>
      <x v="28"/>
    </i>
    <i r="1">
      <x v="5"/>
      <x v="27"/>
    </i>
    <i r="1">
      <x v="6"/>
      <x/>
    </i>
    <i r="1">
      <x v="7"/>
      <x v="44"/>
    </i>
    <i r="1">
      <x v="8"/>
      <x v="1"/>
    </i>
    <i r="1">
      <x v="9"/>
      <x v="2"/>
    </i>
    <i r="1">
      <x v="10"/>
      <x v="29"/>
    </i>
    <i r="1">
      <x v="11"/>
      <x v="35"/>
    </i>
    <i r="1">
      <x v="12"/>
      <x v="25"/>
    </i>
    <i r="1">
      <x v="13"/>
      <x v="23"/>
    </i>
    <i r="2">
      <x v="24"/>
    </i>
    <i r="1">
      <x v="15"/>
      <x v="43"/>
    </i>
    <i r="1">
      <x v="16"/>
      <x v="26"/>
    </i>
    <i r="1">
      <x v="17"/>
      <x v="33"/>
    </i>
    <i r="1">
      <x v="18"/>
      <x v="7"/>
    </i>
    <i r="1">
      <x v="19"/>
      <x v="36"/>
    </i>
    <i t="blank">
      <x v="4"/>
    </i>
    <i>
      <x v="5"/>
    </i>
    <i r="1">
      <x/>
      <x v="38"/>
    </i>
    <i r="1">
      <x v="1"/>
      <x v="40"/>
    </i>
    <i r="1">
      <x v="2"/>
      <x v="28"/>
    </i>
    <i r="1">
      <x v="3"/>
      <x v="9"/>
    </i>
    <i r="1">
      <x v="4"/>
      <x v="34"/>
    </i>
    <i r="1">
      <x v="5"/>
      <x v="30"/>
    </i>
    <i r="1">
      <x v="6"/>
      <x v="15"/>
    </i>
    <i r="1">
      <x v="7"/>
      <x v="10"/>
    </i>
    <i r="1">
      <x v="8"/>
      <x v="44"/>
    </i>
    <i r="1">
      <x v="9"/>
      <x v="1"/>
    </i>
    <i r="1">
      <x v="10"/>
      <x v="29"/>
    </i>
    <i r="1">
      <x v="11"/>
      <x/>
    </i>
    <i r="1">
      <x v="12"/>
      <x v="2"/>
    </i>
    <i r="1">
      <x v="13"/>
      <x v="13"/>
    </i>
    <i r="2">
      <x v="27"/>
    </i>
    <i r="1">
      <x v="15"/>
      <x v="24"/>
    </i>
    <i r="1">
      <x v="16"/>
      <x v="35"/>
    </i>
    <i r="1">
      <x v="17"/>
      <x v="43"/>
    </i>
    <i r="1">
      <x v="18"/>
      <x v="33"/>
    </i>
    <i r="1">
      <x v="19"/>
      <x v="22"/>
    </i>
    <i t="blank">
      <x v="5"/>
    </i>
    <i>
      <x v="6"/>
    </i>
    <i r="1">
      <x/>
      <x v="38"/>
    </i>
    <i r="1">
      <x v="1"/>
      <x v="40"/>
    </i>
    <i r="1">
      <x v="2"/>
      <x v="34"/>
    </i>
    <i r="1">
      <x v="3"/>
      <x v="28"/>
    </i>
    <i r="1">
      <x v="4"/>
      <x v="30"/>
    </i>
    <i r="1">
      <x v="5"/>
      <x/>
    </i>
    <i r="1">
      <x v="6"/>
      <x v="43"/>
    </i>
    <i r="1">
      <x v="7"/>
      <x v="44"/>
    </i>
    <i r="1">
      <x v="8"/>
      <x v="27"/>
    </i>
    <i r="1">
      <x v="9"/>
      <x v="2"/>
    </i>
    <i r="1">
      <x v="10"/>
      <x v="33"/>
    </i>
    <i r="1">
      <x v="11"/>
      <x v="29"/>
    </i>
    <i r="1">
      <x v="12"/>
      <x v="1"/>
    </i>
    <i r="1">
      <x v="13"/>
      <x v="45"/>
    </i>
    <i r="1">
      <x v="14"/>
      <x v="9"/>
    </i>
    <i r="2">
      <x v="36"/>
    </i>
    <i r="1">
      <x v="16"/>
      <x v="35"/>
    </i>
    <i r="1">
      <x v="17"/>
      <x v="10"/>
    </i>
    <i r="1">
      <x v="18"/>
      <x v="41"/>
    </i>
    <i r="1">
      <x v="19"/>
      <x v="24"/>
    </i>
    <i t="blank">
      <x v="6"/>
    </i>
    <i>
      <x v="7"/>
    </i>
    <i r="1">
      <x/>
      <x v="40"/>
    </i>
    <i r="1">
      <x v="1"/>
      <x v="38"/>
    </i>
    <i r="1">
      <x v="2"/>
      <x v="34"/>
    </i>
    <i r="1">
      <x v="3"/>
      <x v="43"/>
    </i>
    <i r="1">
      <x v="4"/>
      <x v="30"/>
    </i>
    <i r="1">
      <x v="5"/>
      <x v="28"/>
    </i>
    <i r="1">
      <x v="6"/>
      <x/>
    </i>
    <i r="1">
      <x v="7"/>
      <x v="44"/>
    </i>
    <i r="1">
      <x v="8"/>
      <x v="27"/>
    </i>
    <i r="1">
      <x v="9"/>
      <x v="29"/>
    </i>
    <i r="1">
      <x v="10"/>
      <x v="2"/>
    </i>
    <i r="1">
      <x v="11"/>
      <x v="35"/>
    </i>
    <i r="1">
      <x v="12"/>
      <x v="33"/>
    </i>
    <i r="1">
      <x v="13"/>
      <x v="1"/>
    </i>
    <i r="1">
      <x v="14"/>
      <x v="36"/>
    </i>
    <i r="1">
      <x v="15"/>
      <x v="45"/>
    </i>
    <i r="1">
      <x v="16"/>
      <x v="41"/>
    </i>
    <i r="1">
      <x v="17"/>
      <x v="24"/>
    </i>
    <i r="1">
      <x v="18"/>
      <x v="31"/>
    </i>
    <i r="2">
      <x v="48"/>
    </i>
    <i t="blank">
      <x v="7"/>
    </i>
    <i>
      <x v="8"/>
    </i>
    <i r="1">
      <x/>
      <x v="40"/>
    </i>
    <i r="1">
      <x v="1"/>
      <x v="38"/>
    </i>
    <i r="1">
      <x v="2"/>
      <x v="43"/>
    </i>
    <i r="1">
      <x v="3"/>
      <x v="34"/>
    </i>
    <i r="1">
      <x v="4"/>
      <x v="30"/>
    </i>
    <i r="1">
      <x v="5"/>
      <x/>
    </i>
    <i r="1">
      <x v="6"/>
      <x v="28"/>
    </i>
    <i r="1">
      <x v="7"/>
      <x v="44"/>
    </i>
    <i r="1">
      <x v="8"/>
      <x v="27"/>
    </i>
    <i r="1">
      <x v="9"/>
      <x v="1"/>
    </i>
    <i r="1">
      <x v="10"/>
      <x v="2"/>
    </i>
    <i r="1">
      <x v="11"/>
      <x v="29"/>
    </i>
    <i r="1">
      <x v="12"/>
      <x v="36"/>
    </i>
    <i r="1">
      <x v="13"/>
      <x v="45"/>
    </i>
    <i r="1">
      <x v="14"/>
      <x v="41"/>
    </i>
    <i r="1">
      <x v="15"/>
      <x v="26"/>
    </i>
    <i r="1">
      <x v="16"/>
      <x v="24"/>
    </i>
    <i r="2">
      <x v="35"/>
    </i>
    <i r="1">
      <x v="18"/>
      <x v="19"/>
    </i>
    <i r="1">
      <x v="19"/>
      <x v="33"/>
    </i>
    <i r="2">
      <x v="39"/>
    </i>
    <i t="blank">
      <x v="8"/>
    </i>
    <i>
      <x v="9"/>
    </i>
    <i r="1">
      <x/>
      <x v="38"/>
    </i>
    <i r="1">
      <x v="1"/>
      <x v="35"/>
    </i>
    <i r="1">
      <x v="2"/>
      <x v="27"/>
    </i>
    <i r="1">
      <x v="3"/>
      <x v="34"/>
    </i>
    <i r="1">
      <x v="4"/>
      <x v="30"/>
    </i>
    <i r="1">
      <x v="5"/>
      <x v="40"/>
    </i>
    <i r="1">
      <x v="6"/>
      <x v="28"/>
    </i>
    <i r="1">
      <x v="7"/>
      <x v="44"/>
    </i>
    <i r="1">
      <x v="8"/>
      <x v="36"/>
    </i>
    <i r="1">
      <x v="9"/>
      <x v="43"/>
    </i>
    <i r="1">
      <x v="10"/>
      <x v="33"/>
    </i>
    <i r="1">
      <x v="11"/>
      <x v="26"/>
    </i>
    <i r="1">
      <x v="12"/>
      <x/>
    </i>
    <i r="1">
      <x v="13"/>
      <x v="48"/>
    </i>
    <i r="1">
      <x v="14"/>
      <x v="25"/>
    </i>
    <i r="1">
      <x v="15"/>
      <x v="41"/>
    </i>
    <i r="1">
      <x v="16"/>
      <x v="2"/>
    </i>
    <i r="1">
      <x v="17"/>
      <x v="23"/>
    </i>
    <i r="1">
      <x v="18"/>
      <x v="22"/>
    </i>
    <i r="1">
      <x v="19"/>
      <x v="24"/>
    </i>
    <i t="blank">
      <x v="9"/>
    </i>
    <i>
      <x v="10"/>
    </i>
    <i r="1">
      <x/>
      <x v="34"/>
    </i>
    <i r="1">
      <x v="1"/>
      <x v="40"/>
    </i>
    <i r="1">
      <x v="2"/>
      <x/>
    </i>
    <i r="1">
      <x v="3"/>
      <x v="38"/>
    </i>
    <i r="1">
      <x v="4"/>
      <x v="30"/>
    </i>
    <i r="1">
      <x v="5"/>
      <x v="43"/>
    </i>
    <i r="1">
      <x v="6"/>
      <x v="29"/>
    </i>
    <i r="1">
      <x v="7"/>
      <x v="1"/>
    </i>
    <i r="1">
      <x v="8"/>
      <x v="2"/>
    </i>
    <i r="1">
      <x v="9"/>
      <x v="28"/>
    </i>
    <i r="1">
      <x v="10"/>
      <x v="44"/>
    </i>
    <i r="1">
      <x v="11"/>
      <x v="24"/>
    </i>
    <i r="1">
      <x v="12"/>
      <x v="36"/>
    </i>
    <i r="1">
      <x v="13"/>
      <x v="46"/>
    </i>
    <i r="1">
      <x v="14"/>
      <x v="13"/>
    </i>
    <i r="1">
      <x v="15"/>
      <x v="27"/>
    </i>
    <i r="1">
      <x v="16"/>
      <x v="45"/>
    </i>
    <i r="1">
      <x v="17"/>
      <x v="15"/>
    </i>
    <i r="2">
      <x v="25"/>
    </i>
    <i r="1">
      <x v="19"/>
      <x v="35"/>
    </i>
    <i t="blank">
      <x v="10"/>
    </i>
    <i>
      <x v="11"/>
    </i>
    <i r="1">
      <x/>
      <x v="38"/>
    </i>
    <i r="1">
      <x v="1"/>
      <x v="40"/>
    </i>
    <i r="1">
      <x v="2"/>
      <x v="30"/>
    </i>
    <i r="1">
      <x v="3"/>
      <x v="34"/>
    </i>
    <i r="1">
      <x v="4"/>
      <x/>
    </i>
    <i r="1">
      <x v="5"/>
      <x v="28"/>
    </i>
    <i r="1">
      <x v="6"/>
      <x v="43"/>
    </i>
    <i r="1">
      <x v="7"/>
      <x v="27"/>
    </i>
    <i r="1">
      <x v="8"/>
      <x v="2"/>
    </i>
    <i r="1">
      <x v="9"/>
      <x v="29"/>
    </i>
    <i r="1">
      <x v="10"/>
      <x v="1"/>
    </i>
    <i r="1">
      <x v="11"/>
      <x v="44"/>
    </i>
    <i r="1">
      <x v="12"/>
      <x v="35"/>
    </i>
    <i r="1">
      <x v="13"/>
      <x v="36"/>
    </i>
    <i r="1">
      <x v="14"/>
      <x v="24"/>
    </i>
    <i r="1">
      <x v="15"/>
      <x v="33"/>
    </i>
    <i r="1">
      <x v="16"/>
      <x v="46"/>
    </i>
    <i r="1">
      <x v="17"/>
      <x v="25"/>
    </i>
    <i r="1">
      <x v="18"/>
      <x v="13"/>
    </i>
    <i r="1">
      <x v="19"/>
      <x v="23"/>
    </i>
    <i t="blank">
      <x v="11"/>
    </i>
    <i>
      <x v="12"/>
    </i>
    <i r="1">
      <x/>
      <x v="38"/>
    </i>
    <i r="1">
      <x v="1"/>
      <x v="40"/>
    </i>
    <i r="1">
      <x v="2"/>
      <x v="34"/>
    </i>
    <i r="1">
      <x v="3"/>
      <x v="30"/>
    </i>
    <i r="1">
      <x v="4"/>
      <x v="28"/>
    </i>
    <i r="1">
      <x v="5"/>
      <x v="44"/>
    </i>
    <i r="1">
      <x v="6"/>
      <x/>
    </i>
    <i r="1">
      <x v="7"/>
      <x v="2"/>
    </i>
    <i r="1">
      <x v="8"/>
      <x v="27"/>
    </i>
    <i r="1">
      <x v="9"/>
      <x v="1"/>
    </i>
    <i r="1">
      <x v="10"/>
      <x v="43"/>
    </i>
    <i r="1">
      <x v="11"/>
      <x v="29"/>
    </i>
    <i r="1">
      <x v="12"/>
      <x v="13"/>
    </i>
    <i r="1">
      <x v="13"/>
      <x v="33"/>
    </i>
    <i r="1">
      <x v="14"/>
      <x v="35"/>
    </i>
    <i r="1">
      <x v="15"/>
      <x v="15"/>
    </i>
    <i r="1">
      <x v="16"/>
      <x v="24"/>
    </i>
    <i r="1">
      <x v="17"/>
      <x v="25"/>
    </i>
    <i r="1">
      <x v="18"/>
      <x v="41"/>
    </i>
    <i r="1">
      <x v="19"/>
      <x v="26"/>
    </i>
    <i t="blank">
      <x v="12"/>
    </i>
    <i>
      <x v="13"/>
    </i>
    <i r="1">
      <x/>
      <x v="38"/>
    </i>
    <i r="1">
      <x v="1"/>
      <x v="40"/>
    </i>
    <i r="1">
      <x v="2"/>
      <x v="30"/>
    </i>
    <i r="1">
      <x v="3"/>
      <x v="28"/>
    </i>
    <i r="1">
      <x v="4"/>
      <x v="34"/>
    </i>
    <i r="1">
      <x v="5"/>
      <x v="43"/>
    </i>
    <i r="1">
      <x v="6"/>
      <x/>
    </i>
    <i r="1">
      <x v="7"/>
      <x v="44"/>
    </i>
    <i r="1">
      <x v="8"/>
      <x v="27"/>
    </i>
    <i r="1">
      <x v="9"/>
      <x v="29"/>
    </i>
    <i r="1">
      <x v="10"/>
      <x v="35"/>
    </i>
    <i r="1">
      <x v="11"/>
      <x v="1"/>
    </i>
    <i r="1">
      <x v="12"/>
      <x v="33"/>
    </i>
    <i r="1">
      <x v="13"/>
      <x v="2"/>
    </i>
    <i r="1">
      <x v="14"/>
      <x v="36"/>
    </i>
    <i r="1">
      <x v="15"/>
      <x v="25"/>
    </i>
    <i r="1">
      <x v="16"/>
      <x v="24"/>
    </i>
    <i r="1">
      <x v="17"/>
      <x v="41"/>
    </i>
    <i r="2">
      <x v="45"/>
    </i>
    <i r="1">
      <x v="19"/>
      <x v="26"/>
    </i>
    <i t="blank">
      <x v="13"/>
    </i>
    <i>
      <x v="14"/>
    </i>
    <i r="1">
      <x/>
      <x v="38"/>
    </i>
    <i r="1">
      <x v="1"/>
      <x v="40"/>
    </i>
    <i r="1">
      <x v="2"/>
      <x v="34"/>
    </i>
    <i r="1">
      <x v="3"/>
      <x v="30"/>
    </i>
    <i r="1">
      <x v="4"/>
      <x v="44"/>
    </i>
    <i r="1">
      <x v="5"/>
      <x v="43"/>
    </i>
    <i r="1">
      <x v="6"/>
      <x v="28"/>
    </i>
    <i r="1">
      <x v="7"/>
      <x v="27"/>
    </i>
    <i r="1">
      <x v="8"/>
      <x/>
    </i>
    <i r="1">
      <x v="9"/>
      <x v="33"/>
    </i>
    <i r="1">
      <x v="10"/>
      <x v="35"/>
    </i>
    <i r="1">
      <x v="11"/>
      <x v="29"/>
    </i>
    <i r="1">
      <x v="12"/>
      <x v="1"/>
    </i>
    <i r="1">
      <x v="13"/>
      <x v="2"/>
    </i>
    <i r="1">
      <x v="14"/>
      <x v="36"/>
    </i>
    <i r="1">
      <x v="15"/>
      <x v="41"/>
    </i>
    <i r="1">
      <x v="16"/>
      <x v="26"/>
    </i>
    <i r="1">
      <x v="17"/>
      <x v="24"/>
    </i>
    <i r="2">
      <x v="39"/>
    </i>
    <i r="2">
      <x v="45"/>
    </i>
    <i t="blank">
      <x v="14"/>
    </i>
    <i>
      <x v="15"/>
    </i>
    <i r="1">
      <x/>
      <x v="38"/>
    </i>
    <i r="1">
      <x v="1"/>
      <x v="40"/>
    </i>
    <i r="1">
      <x v="2"/>
      <x v="30"/>
    </i>
    <i r="1">
      <x v="3"/>
      <x v="34"/>
    </i>
    <i r="1">
      <x v="4"/>
      <x v="28"/>
    </i>
    <i r="1">
      <x v="5"/>
      <x v="27"/>
    </i>
    <i r="1">
      <x v="6"/>
      <x/>
    </i>
    <i r="1">
      <x v="7"/>
      <x v="1"/>
    </i>
    <i r="1">
      <x v="8"/>
      <x v="43"/>
    </i>
    <i r="1">
      <x v="9"/>
      <x v="44"/>
    </i>
    <i r="1">
      <x v="10"/>
      <x v="29"/>
    </i>
    <i r="1">
      <x v="11"/>
      <x v="2"/>
    </i>
    <i r="1">
      <x v="12"/>
      <x v="36"/>
    </i>
    <i r="1">
      <x v="13"/>
      <x v="46"/>
    </i>
    <i r="1">
      <x v="14"/>
      <x v="35"/>
    </i>
    <i r="1">
      <x v="15"/>
      <x v="37"/>
    </i>
    <i r="1">
      <x v="16"/>
      <x v="23"/>
    </i>
    <i r="1">
      <x v="17"/>
      <x v="45"/>
    </i>
    <i r="1">
      <x v="18"/>
      <x v="3"/>
    </i>
    <i r="1">
      <x v="19"/>
      <x v="25"/>
    </i>
    <i t="blank">
      <x v="15"/>
    </i>
    <i>
      <x v="16"/>
    </i>
    <i r="1">
      <x/>
      <x v="34"/>
    </i>
    <i r="1">
      <x v="1"/>
      <x v="38"/>
    </i>
    <i r="1">
      <x v="2"/>
      <x v="40"/>
    </i>
    <i r="1">
      <x v="3"/>
      <x v="30"/>
    </i>
    <i r="1">
      <x v="4"/>
      <x v="27"/>
    </i>
    <i r="1">
      <x v="5"/>
      <x v="44"/>
    </i>
    <i r="1">
      <x v="6"/>
      <x v="28"/>
    </i>
    <i r="1">
      <x v="7"/>
      <x v="43"/>
    </i>
    <i r="1">
      <x v="8"/>
      <x v="35"/>
    </i>
    <i r="1">
      <x v="9"/>
      <x v="33"/>
    </i>
    <i r="1">
      <x v="10"/>
      <x/>
    </i>
    <i r="1">
      <x v="11"/>
      <x v="36"/>
    </i>
    <i r="1">
      <x v="12"/>
      <x v="26"/>
    </i>
    <i r="1">
      <x v="13"/>
      <x v="39"/>
    </i>
    <i r="1">
      <x v="14"/>
      <x v="1"/>
    </i>
    <i r="2">
      <x v="29"/>
    </i>
    <i r="1">
      <x v="16"/>
      <x v="25"/>
    </i>
    <i r="2">
      <x v="41"/>
    </i>
    <i r="1">
      <x v="18"/>
      <x v="2"/>
    </i>
    <i r="2">
      <x v="24"/>
    </i>
    <i t="blank">
      <x v="16"/>
    </i>
    <i>
      <x v="17"/>
    </i>
    <i r="1">
      <x/>
      <x v="38"/>
    </i>
    <i r="1">
      <x v="1"/>
      <x v="40"/>
    </i>
    <i r="1">
      <x v="2"/>
      <x v="34"/>
    </i>
    <i r="1">
      <x v="3"/>
      <x v="30"/>
    </i>
    <i r="1">
      <x v="4"/>
      <x/>
    </i>
    <i r="1">
      <x v="5"/>
      <x v="28"/>
    </i>
    <i r="1">
      <x v="6"/>
      <x v="43"/>
    </i>
    <i r="1">
      <x v="7"/>
      <x v="44"/>
    </i>
    <i r="1">
      <x v="8"/>
      <x v="29"/>
    </i>
    <i r="1">
      <x v="9"/>
      <x v="2"/>
    </i>
    <i r="1">
      <x v="10"/>
      <x v="27"/>
    </i>
    <i r="1">
      <x v="11"/>
      <x v="1"/>
    </i>
    <i r="1">
      <x v="12"/>
      <x v="33"/>
    </i>
    <i r="2">
      <x v="35"/>
    </i>
    <i r="1">
      <x v="14"/>
      <x v="13"/>
    </i>
    <i r="1">
      <x v="15"/>
      <x v="24"/>
    </i>
    <i r="1">
      <x v="16"/>
      <x v="15"/>
    </i>
    <i r="1">
      <x v="17"/>
      <x v="36"/>
    </i>
    <i r="1">
      <x v="18"/>
      <x v="25"/>
    </i>
    <i r="1">
      <x v="19"/>
      <x v="45"/>
    </i>
    <i t="blank">
      <x v="17"/>
    </i>
    <i>
      <x v="18"/>
    </i>
    <i r="1">
      <x/>
      <x v="38"/>
    </i>
    <i r="1">
      <x v="1"/>
      <x v="40"/>
    </i>
    <i r="1">
      <x v="2"/>
      <x v="34"/>
    </i>
    <i r="1">
      <x v="3"/>
      <x v="30"/>
    </i>
    <i r="1">
      <x v="4"/>
      <x/>
    </i>
    <i r="1">
      <x v="5"/>
      <x v="28"/>
    </i>
    <i r="1">
      <x v="6"/>
      <x v="2"/>
    </i>
    <i r="1">
      <x v="7"/>
      <x v="43"/>
    </i>
    <i r="1">
      <x v="8"/>
      <x v="1"/>
    </i>
    <i r="1">
      <x v="9"/>
      <x v="44"/>
    </i>
    <i r="1">
      <x v="10"/>
      <x v="36"/>
    </i>
    <i r="1">
      <x v="11"/>
      <x v="13"/>
    </i>
    <i r="2">
      <x v="27"/>
    </i>
    <i r="1">
      <x v="13"/>
      <x v="29"/>
    </i>
    <i r="1">
      <x v="14"/>
      <x v="24"/>
    </i>
    <i r="2">
      <x v="35"/>
    </i>
    <i r="1">
      <x v="16"/>
      <x v="46"/>
    </i>
    <i r="1">
      <x v="17"/>
      <x v="41"/>
    </i>
    <i r="1">
      <x v="18"/>
      <x v="42"/>
    </i>
    <i r="1">
      <x v="19"/>
      <x v="3"/>
    </i>
    <i t="blank">
      <x v="18"/>
    </i>
    <i>
      <x v="19"/>
    </i>
    <i r="1">
      <x/>
      <x v="38"/>
    </i>
    <i r="1">
      <x v="1"/>
      <x v="30"/>
    </i>
    <i r="1">
      <x v="2"/>
      <x v="40"/>
    </i>
    <i r="1">
      <x v="3"/>
      <x/>
    </i>
    <i r="1">
      <x v="4"/>
      <x v="28"/>
    </i>
    <i r="1">
      <x v="5"/>
      <x v="37"/>
    </i>
    <i r="1">
      <x v="6"/>
      <x v="1"/>
    </i>
    <i r="2">
      <x v="34"/>
    </i>
    <i r="1">
      <x v="8"/>
      <x v="10"/>
    </i>
    <i r="1">
      <x v="9"/>
      <x v="27"/>
    </i>
    <i r="1">
      <x v="10"/>
      <x v="43"/>
    </i>
    <i r="1">
      <x v="11"/>
      <x v="29"/>
    </i>
    <i r="1">
      <x v="12"/>
      <x v="2"/>
    </i>
    <i r="1">
      <x v="13"/>
      <x v="44"/>
    </i>
    <i r="1">
      <x v="14"/>
      <x v="36"/>
    </i>
    <i r="1">
      <x v="15"/>
      <x v="35"/>
    </i>
    <i r="1">
      <x v="16"/>
      <x v="4"/>
    </i>
    <i r="1">
      <x v="17"/>
      <x v="3"/>
    </i>
    <i r="1">
      <x v="18"/>
      <x v="24"/>
    </i>
    <i r="2">
      <x v="26"/>
    </i>
    <i r="2">
      <x v="46"/>
    </i>
    <i t="blank">
      <x v="19"/>
    </i>
    <i>
      <x v="20"/>
    </i>
    <i r="1">
      <x/>
      <x v="38"/>
    </i>
    <i r="1">
      <x v="1"/>
      <x v="40"/>
    </i>
    <i r="1">
      <x v="2"/>
      <x v="34"/>
    </i>
    <i r="1">
      <x v="3"/>
      <x v="30"/>
    </i>
    <i r="1">
      <x v="4"/>
      <x/>
    </i>
    <i r="1">
      <x v="5"/>
      <x v="43"/>
    </i>
    <i r="1">
      <x v="6"/>
      <x v="28"/>
    </i>
    <i r="1">
      <x v="7"/>
      <x v="29"/>
    </i>
    <i r="1">
      <x v="8"/>
      <x v="2"/>
    </i>
    <i r="1">
      <x v="9"/>
      <x v="1"/>
    </i>
    <i r="1">
      <x v="10"/>
      <x v="27"/>
    </i>
    <i r="1">
      <x v="11"/>
      <x v="44"/>
    </i>
    <i r="1">
      <x v="12"/>
      <x v="35"/>
    </i>
    <i r="1">
      <x v="13"/>
      <x v="33"/>
    </i>
    <i r="1">
      <x v="14"/>
      <x v="36"/>
    </i>
    <i r="1">
      <x v="15"/>
      <x v="41"/>
    </i>
    <i r="1">
      <x v="16"/>
      <x v="24"/>
    </i>
    <i r="1">
      <x v="17"/>
      <x v="4"/>
    </i>
    <i r="1">
      <x v="18"/>
      <x v="25"/>
    </i>
    <i r="1">
      <x v="19"/>
      <x v="46"/>
    </i>
    <i t="blank">
      <x v="20"/>
    </i>
    <i>
      <x v="21"/>
    </i>
    <i r="1">
      <x/>
      <x v="38"/>
    </i>
    <i r="2">
      <x v="40"/>
    </i>
    <i r="1">
      <x v="2"/>
      <x v="30"/>
    </i>
    <i r="1">
      <x v="3"/>
      <x/>
    </i>
    <i r="1">
      <x v="4"/>
      <x v="34"/>
    </i>
    <i r="1">
      <x v="5"/>
      <x v="28"/>
    </i>
    <i r="1">
      <x v="6"/>
      <x v="1"/>
    </i>
    <i r="1">
      <x v="7"/>
      <x v="43"/>
    </i>
    <i r="1">
      <x v="8"/>
      <x v="29"/>
    </i>
    <i r="1">
      <x v="9"/>
      <x v="27"/>
    </i>
    <i r="1">
      <x v="10"/>
      <x v="2"/>
    </i>
    <i r="1">
      <x v="11"/>
      <x v="44"/>
    </i>
    <i r="1">
      <x v="12"/>
      <x v="36"/>
    </i>
    <i r="1">
      <x v="13"/>
      <x v="25"/>
    </i>
    <i r="2">
      <x v="41"/>
    </i>
    <i r="1">
      <x v="15"/>
      <x v="24"/>
    </i>
    <i r="1">
      <x v="16"/>
      <x v="35"/>
    </i>
    <i r="1">
      <x v="17"/>
      <x v="23"/>
    </i>
    <i r="2">
      <x v="32"/>
    </i>
    <i r="2">
      <x v="33"/>
    </i>
    <i r="2">
      <x v="46"/>
    </i>
    <i t="blank">
      <x v="21"/>
    </i>
    <i>
      <x v="22"/>
    </i>
    <i r="1">
      <x/>
      <x v="4"/>
    </i>
    <i r="1">
      <x v="1"/>
      <x v="38"/>
    </i>
    <i r="1">
      <x v="2"/>
      <x v="40"/>
    </i>
    <i r="1">
      <x v="3"/>
      <x v="30"/>
    </i>
    <i r="1">
      <x v="4"/>
      <x/>
    </i>
    <i r="1">
      <x v="5"/>
      <x v="29"/>
    </i>
    <i r="1">
      <x v="6"/>
      <x v="1"/>
    </i>
    <i r="1">
      <x v="7"/>
      <x v="28"/>
    </i>
    <i r="1">
      <x v="8"/>
      <x v="43"/>
    </i>
    <i r="1">
      <x v="9"/>
      <x v="27"/>
    </i>
    <i r="2">
      <x v="34"/>
    </i>
    <i r="1">
      <x v="11"/>
      <x v="2"/>
    </i>
    <i r="1">
      <x v="12"/>
      <x v="35"/>
    </i>
    <i r="1">
      <x v="13"/>
      <x v="17"/>
    </i>
    <i r="1">
      <x v="14"/>
      <x v="13"/>
    </i>
    <i r="1">
      <x v="15"/>
      <x v="22"/>
    </i>
    <i r="2">
      <x v="44"/>
    </i>
    <i r="1">
      <x v="17"/>
      <x v="24"/>
    </i>
    <i r="1">
      <x v="18"/>
      <x v="46"/>
    </i>
    <i r="1">
      <x v="19"/>
      <x v="26"/>
    </i>
    <i t="blank">
      <x v="22"/>
    </i>
    <i>
      <x v="23"/>
    </i>
    <i r="1">
      <x/>
      <x v="38"/>
    </i>
    <i r="1">
      <x v="1"/>
      <x v="34"/>
    </i>
    <i r="1">
      <x v="2"/>
      <x v="40"/>
    </i>
    <i r="1">
      <x v="3"/>
      <x v="30"/>
    </i>
    <i r="1">
      <x v="4"/>
      <x/>
    </i>
    <i r="1">
      <x v="5"/>
      <x v="43"/>
    </i>
    <i r="1">
      <x v="6"/>
      <x v="28"/>
    </i>
    <i r="1">
      <x v="7"/>
      <x v="44"/>
    </i>
    <i r="1">
      <x v="8"/>
      <x v="27"/>
    </i>
    <i r="1">
      <x v="9"/>
      <x v="35"/>
    </i>
    <i r="1">
      <x v="10"/>
      <x v="29"/>
    </i>
    <i r="1">
      <x v="11"/>
      <x v="1"/>
    </i>
    <i r="1">
      <x v="12"/>
      <x v="2"/>
    </i>
    <i r="1">
      <x v="13"/>
      <x v="33"/>
    </i>
    <i r="1">
      <x v="14"/>
      <x v="36"/>
    </i>
    <i r="1">
      <x v="15"/>
      <x v="45"/>
    </i>
    <i r="1">
      <x v="16"/>
      <x v="41"/>
    </i>
    <i r="1">
      <x v="17"/>
      <x v="26"/>
    </i>
    <i r="2">
      <x v="48"/>
    </i>
    <i r="1">
      <x v="19"/>
      <x v="24"/>
    </i>
    <i t="blank">
      <x v="23"/>
    </i>
    <i>
      <x v="24"/>
    </i>
    <i r="1">
      <x/>
      <x v="38"/>
    </i>
    <i r="1">
      <x v="1"/>
      <x v="40"/>
    </i>
    <i r="1">
      <x v="2"/>
      <x v="13"/>
    </i>
    <i r="1">
      <x v="3"/>
      <x v="30"/>
    </i>
    <i r="1">
      <x v="4"/>
      <x/>
    </i>
    <i r="1">
      <x v="5"/>
      <x v="26"/>
    </i>
    <i r="1">
      <x v="6"/>
      <x v="1"/>
    </i>
    <i r="1">
      <x v="7"/>
      <x v="28"/>
    </i>
    <i r="1">
      <x v="8"/>
      <x v="43"/>
    </i>
    <i r="1">
      <x v="9"/>
      <x v="29"/>
    </i>
    <i r="1">
      <x v="10"/>
      <x v="44"/>
    </i>
    <i r="1">
      <x v="11"/>
      <x v="2"/>
    </i>
    <i r="1">
      <x v="12"/>
      <x v="27"/>
    </i>
    <i r="1">
      <x v="13"/>
      <x v="34"/>
    </i>
    <i r="1">
      <x v="14"/>
      <x v="25"/>
    </i>
    <i r="2">
      <x v="46"/>
    </i>
    <i r="1">
      <x v="16"/>
      <x v="15"/>
    </i>
    <i r="1">
      <x v="17"/>
      <x v="24"/>
    </i>
    <i r="1">
      <x v="18"/>
      <x v="5"/>
    </i>
    <i r="2">
      <x v="35"/>
    </i>
    <i t="blank">
      <x v="24"/>
    </i>
    <i>
      <x v="25"/>
    </i>
    <i r="1">
      <x/>
      <x v="38"/>
    </i>
    <i r="1">
      <x v="1"/>
      <x v="40"/>
    </i>
    <i r="1">
      <x v="2"/>
      <x v="30"/>
    </i>
    <i r="1">
      <x v="3"/>
      <x/>
    </i>
    <i r="1">
      <x v="4"/>
      <x v="28"/>
    </i>
    <i r="1">
      <x v="5"/>
      <x v="43"/>
    </i>
    <i r="1">
      <x v="6"/>
      <x v="2"/>
    </i>
    <i r="1">
      <x v="7"/>
      <x v="34"/>
    </i>
    <i r="1">
      <x v="8"/>
      <x v="1"/>
    </i>
    <i r="1">
      <x v="9"/>
      <x v="27"/>
    </i>
    <i r="1">
      <x v="10"/>
      <x v="29"/>
    </i>
    <i r="2">
      <x v="44"/>
    </i>
    <i r="1">
      <x v="12"/>
      <x v="35"/>
    </i>
    <i r="1">
      <x v="13"/>
      <x v="36"/>
    </i>
    <i r="1">
      <x v="14"/>
      <x v="24"/>
    </i>
    <i r="1">
      <x v="15"/>
      <x v="41"/>
    </i>
    <i r="1">
      <x v="16"/>
      <x v="39"/>
    </i>
    <i r="1">
      <x v="17"/>
      <x v="13"/>
    </i>
    <i r="2">
      <x v="33"/>
    </i>
    <i r="1">
      <x v="19"/>
      <x v="15"/>
    </i>
    <i r="2">
      <x v="47"/>
    </i>
    <i t="blank">
      <x v="25"/>
    </i>
    <i>
      <x v="26"/>
    </i>
    <i r="1">
      <x/>
      <x v="38"/>
    </i>
    <i r="1">
      <x v="1"/>
      <x v="40"/>
    </i>
    <i r="1">
      <x v="2"/>
      <x v="34"/>
    </i>
    <i r="1">
      <x v="3"/>
      <x v="30"/>
    </i>
    <i r="1">
      <x v="4"/>
      <x v="43"/>
    </i>
    <i r="1">
      <x v="5"/>
      <x/>
    </i>
    <i r="1">
      <x v="6"/>
      <x v="28"/>
    </i>
    <i r="1">
      <x v="7"/>
      <x v="29"/>
    </i>
    <i r="1">
      <x v="8"/>
      <x v="44"/>
    </i>
    <i r="1">
      <x v="9"/>
      <x v="27"/>
    </i>
    <i r="1">
      <x v="10"/>
      <x v="35"/>
    </i>
    <i r="1">
      <x v="11"/>
      <x v="2"/>
    </i>
    <i r="1">
      <x v="12"/>
      <x v="1"/>
    </i>
    <i r="1">
      <x v="13"/>
      <x v="33"/>
    </i>
    <i r="1">
      <x v="14"/>
      <x v="41"/>
    </i>
    <i r="1">
      <x v="15"/>
      <x v="36"/>
    </i>
    <i r="1">
      <x v="16"/>
      <x v="24"/>
    </i>
    <i r="1">
      <x v="17"/>
      <x v="26"/>
    </i>
    <i r="1">
      <x v="18"/>
      <x v="15"/>
    </i>
    <i r="1">
      <x v="19"/>
      <x v="13"/>
    </i>
    <i r="2">
      <x v="25"/>
    </i>
    <i t="blank">
      <x v="26"/>
    </i>
    <i>
      <x v="27"/>
    </i>
    <i r="1">
      <x/>
      <x v="13"/>
    </i>
    <i r="1">
      <x v="1"/>
      <x v="38"/>
    </i>
    <i r="1">
      <x v="2"/>
      <x v="40"/>
    </i>
    <i r="1">
      <x v="3"/>
      <x v="30"/>
    </i>
    <i r="1">
      <x v="4"/>
      <x/>
    </i>
    <i r="1">
      <x v="5"/>
      <x v="28"/>
    </i>
    <i r="2">
      <x v="34"/>
    </i>
    <i r="1">
      <x v="7"/>
      <x v="29"/>
    </i>
    <i r="1">
      <x v="8"/>
      <x v="43"/>
    </i>
    <i r="1">
      <x v="9"/>
      <x v="26"/>
    </i>
    <i r="1">
      <x v="10"/>
      <x v="1"/>
    </i>
    <i r="1">
      <x v="11"/>
      <x v="27"/>
    </i>
    <i r="1">
      <x v="12"/>
      <x v="17"/>
    </i>
    <i r="1">
      <x v="13"/>
      <x v="5"/>
    </i>
    <i r="2">
      <x v="24"/>
    </i>
    <i r="1">
      <x v="15"/>
      <x v="35"/>
    </i>
    <i r="1">
      <x v="16"/>
      <x v="44"/>
    </i>
    <i r="1">
      <x v="17"/>
      <x v="2"/>
    </i>
    <i r="1">
      <x v="18"/>
      <x v="15"/>
    </i>
    <i r="1">
      <x v="19"/>
      <x v="36"/>
    </i>
    <i t="blank">
      <x v="27"/>
    </i>
    <i>
      <x v="28"/>
    </i>
    <i r="1">
      <x/>
      <x v="40"/>
    </i>
    <i r="1">
      <x v="1"/>
      <x v="38"/>
    </i>
    <i r="1">
      <x v="2"/>
      <x v="30"/>
    </i>
    <i r="1">
      <x v="3"/>
      <x v="34"/>
    </i>
    <i r="1">
      <x v="4"/>
      <x/>
    </i>
    <i r="1">
      <x v="5"/>
      <x v="28"/>
    </i>
    <i r="1">
      <x v="6"/>
      <x v="43"/>
    </i>
    <i r="1">
      <x v="7"/>
      <x v="35"/>
    </i>
    <i r="1">
      <x v="8"/>
      <x v="2"/>
    </i>
    <i r="1">
      <x v="9"/>
      <x v="44"/>
    </i>
    <i r="1">
      <x v="10"/>
      <x v="29"/>
    </i>
    <i r="1">
      <x v="11"/>
      <x v="1"/>
    </i>
    <i r="1">
      <x v="12"/>
      <x v="27"/>
    </i>
    <i r="1">
      <x v="13"/>
      <x v="36"/>
    </i>
    <i r="1">
      <x v="14"/>
      <x v="24"/>
    </i>
    <i r="1">
      <x v="15"/>
      <x v="25"/>
    </i>
    <i r="1">
      <x v="16"/>
      <x v="45"/>
    </i>
    <i r="1">
      <x v="17"/>
      <x v="41"/>
    </i>
    <i r="1">
      <x v="18"/>
      <x v="46"/>
    </i>
    <i r="1">
      <x v="19"/>
      <x v="33"/>
    </i>
    <i r="2">
      <x v="48"/>
    </i>
    <i t="blank">
      <x v="28"/>
    </i>
    <i>
      <x v="29"/>
    </i>
    <i r="1">
      <x/>
      <x v="30"/>
    </i>
    <i r="1">
      <x v="1"/>
      <x v="40"/>
    </i>
    <i r="1">
      <x v="2"/>
      <x v="13"/>
    </i>
    <i r="1">
      <x v="3"/>
      <x/>
    </i>
    <i r="1">
      <x v="4"/>
      <x v="38"/>
    </i>
    <i r="1">
      <x v="5"/>
      <x v="15"/>
    </i>
    <i r="1">
      <x v="6"/>
      <x v="29"/>
    </i>
    <i r="1">
      <x v="7"/>
      <x v="1"/>
    </i>
    <i r="2">
      <x v="28"/>
    </i>
    <i r="1">
      <x v="9"/>
      <x v="2"/>
    </i>
    <i r="1">
      <x v="10"/>
      <x v="4"/>
    </i>
    <i r="1">
      <x v="11"/>
      <x v="27"/>
    </i>
    <i r="1">
      <x v="12"/>
      <x v="14"/>
    </i>
    <i r="1">
      <x v="13"/>
      <x v="8"/>
    </i>
    <i r="1">
      <x v="14"/>
      <x v="16"/>
    </i>
    <i r="2">
      <x v="36"/>
    </i>
    <i r="1">
      <x v="16"/>
      <x v="35"/>
    </i>
    <i r="2">
      <x v="43"/>
    </i>
    <i r="2">
      <x v="44"/>
    </i>
    <i r="1">
      <x v="19"/>
      <x v="24"/>
    </i>
    <i r="2">
      <x v="26"/>
    </i>
    <i r="2">
      <x v="46"/>
    </i>
    <i t="blank">
      <x v="29"/>
    </i>
    <i>
      <x v="30"/>
    </i>
    <i r="1">
      <x/>
      <x/>
    </i>
    <i r="1">
      <x v="1"/>
      <x v="30"/>
    </i>
    <i r="1">
      <x v="2"/>
      <x v="38"/>
    </i>
    <i r="1">
      <x v="3"/>
      <x v="28"/>
    </i>
    <i r="1">
      <x v="4"/>
      <x v="40"/>
    </i>
    <i r="1">
      <x v="5"/>
      <x v="1"/>
    </i>
    <i r="1">
      <x v="6"/>
      <x v="11"/>
    </i>
    <i r="1">
      <x v="7"/>
      <x v="34"/>
    </i>
    <i r="1">
      <x v="8"/>
      <x v="2"/>
    </i>
    <i r="1">
      <x v="9"/>
      <x v="29"/>
    </i>
    <i r="1">
      <x v="10"/>
      <x v="27"/>
    </i>
    <i r="1">
      <x v="11"/>
      <x v="43"/>
    </i>
    <i r="1">
      <x v="12"/>
      <x v="35"/>
    </i>
    <i r="1">
      <x v="13"/>
      <x v="44"/>
    </i>
    <i r="1">
      <x v="14"/>
      <x v="3"/>
    </i>
    <i r="1">
      <x v="15"/>
      <x v="36"/>
    </i>
    <i r="1">
      <x v="16"/>
      <x v="17"/>
    </i>
    <i r="2">
      <x v="33"/>
    </i>
    <i r="2">
      <x v="41"/>
    </i>
    <i r="1">
      <x v="19"/>
      <x v="24"/>
    </i>
    <i t="blank">
      <x v="30"/>
    </i>
    <i>
      <x v="31"/>
    </i>
    <i r="1">
      <x/>
      <x v="30"/>
    </i>
    <i r="1">
      <x v="1"/>
      <x/>
    </i>
    <i r="1">
      <x v="2"/>
      <x v="40"/>
    </i>
    <i r="1">
      <x v="3"/>
      <x v="38"/>
    </i>
    <i r="1">
      <x v="4"/>
      <x v="37"/>
    </i>
    <i r="1">
      <x v="5"/>
      <x v="1"/>
    </i>
    <i r="1">
      <x v="6"/>
      <x v="28"/>
    </i>
    <i r="1">
      <x v="7"/>
      <x v="43"/>
    </i>
    <i r="1">
      <x v="8"/>
      <x v="34"/>
    </i>
    <i r="1">
      <x v="9"/>
      <x v="29"/>
    </i>
    <i r="1">
      <x v="10"/>
      <x v="2"/>
    </i>
    <i r="1">
      <x v="11"/>
      <x v="27"/>
    </i>
    <i r="1">
      <x v="12"/>
      <x v="13"/>
    </i>
    <i r="1">
      <x v="13"/>
      <x v="36"/>
    </i>
    <i r="2">
      <x v="44"/>
    </i>
    <i r="1">
      <x v="15"/>
      <x v="3"/>
    </i>
    <i r="2">
      <x v="35"/>
    </i>
    <i r="1">
      <x v="17"/>
      <x v="4"/>
    </i>
    <i r="1">
      <x v="18"/>
      <x v="46"/>
    </i>
    <i r="1">
      <x v="19"/>
      <x v="5"/>
    </i>
    <i t="blank">
      <x v="31"/>
    </i>
    <i>
      <x v="32"/>
    </i>
    <i r="1">
      <x/>
      <x/>
    </i>
    <i r="1">
      <x v="1"/>
      <x v="40"/>
    </i>
    <i r="1">
      <x v="2"/>
      <x v="38"/>
    </i>
    <i r="1">
      <x v="3"/>
      <x v="30"/>
    </i>
    <i r="1">
      <x v="4"/>
      <x v="1"/>
    </i>
    <i r="1">
      <x v="5"/>
      <x v="28"/>
    </i>
    <i r="1">
      <x v="6"/>
      <x v="29"/>
    </i>
    <i r="1">
      <x v="7"/>
      <x v="2"/>
    </i>
    <i r="1">
      <x v="8"/>
      <x v="43"/>
    </i>
    <i r="1">
      <x v="9"/>
      <x v="27"/>
    </i>
    <i r="1">
      <x v="10"/>
      <x v="34"/>
    </i>
    <i r="1">
      <x v="11"/>
      <x v="4"/>
    </i>
    <i r="1">
      <x v="12"/>
      <x v="44"/>
    </i>
    <i r="1">
      <x v="13"/>
      <x v="35"/>
    </i>
    <i r="1">
      <x v="14"/>
      <x v="5"/>
    </i>
    <i r="1">
      <x v="15"/>
      <x v="45"/>
    </i>
    <i r="1">
      <x v="16"/>
      <x v="6"/>
    </i>
    <i r="1">
      <x v="17"/>
      <x v="17"/>
    </i>
    <i r="1">
      <x v="18"/>
      <x v="24"/>
    </i>
    <i r="1">
      <x v="19"/>
      <x v="46"/>
    </i>
    <i t="blank">
      <x v="32"/>
    </i>
    <i>
      <x v="33"/>
    </i>
    <i r="1">
      <x/>
      <x v="30"/>
    </i>
    <i r="1">
      <x v="1"/>
      <x v="38"/>
    </i>
    <i r="1">
      <x v="2"/>
      <x v="40"/>
    </i>
    <i r="1">
      <x v="3"/>
      <x v="28"/>
    </i>
    <i r="1">
      <x v="4"/>
      <x v="34"/>
    </i>
    <i r="1">
      <x v="5"/>
      <x/>
    </i>
    <i r="1">
      <x v="6"/>
      <x v="11"/>
    </i>
    <i r="1">
      <x v="7"/>
      <x v="43"/>
    </i>
    <i r="1">
      <x v="8"/>
      <x v="27"/>
    </i>
    <i r="1">
      <x v="9"/>
      <x v="1"/>
    </i>
    <i r="2">
      <x v="29"/>
    </i>
    <i r="1">
      <x v="11"/>
      <x v="46"/>
    </i>
    <i r="1">
      <x v="12"/>
      <x v="3"/>
    </i>
    <i r="2">
      <x v="24"/>
    </i>
    <i r="1">
      <x v="14"/>
      <x v="44"/>
    </i>
    <i r="1">
      <x v="15"/>
      <x v="23"/>
    </i>
    <i r="1">
      <x v="16"/>
      <x v="2"/>
    </i>
    <i r="1">
      <x v="17"/>
      <x v="36"/>
    </i>
    <i r="1">
      <x v="18"/>
      <x v="26"/>
    </i>
    <i r="2">
      <x v="37"/>
    </i>
    <i t="blank">
      <x v="33"/>
    </i>
    <i>
      <x v="34"/>
    </i>
    <i r="1">
      <x/>
      <x v="40"/>
    </i>
    <i r="1">
      <x v="1"/>
      <x v="30"/>
    </i>
    <i r="1">
      <x v="2"/>
      <x v="38"/>
    </i>
    <i r="1">
      <x v="3"/>
      <x/>
    </i>
    <i r="1">
      <x v="4"/>
      <x v="34"/>
    </i>
    <i r="1">
      <x v="5"/>
      <x v="28"/>
    </i>
    <i r="1">
      <x v="6"/>
      <x v="1"/>
    </i>
    <i r="1">
      <x v="7"/>
      <x v="43"/>
    </i>
    <i r="1">
      <x v="8"/>
      <x v="29"/>
    </i>
    <i r="1">
      <x v="9"/>
      <x v="27"/>
    </i>
    <i r="1">
      <x v="10"/>
      <x v="36"/>
    </i>
    <i r="1">
      <x v="11"/>
      <x v="2"/>
    </i>
    <i r="1">
      <x v="12"/>
      <x v="44"/>
    </i>
    <i r="1">
      <x v="13"/>
      <x v="13"/>
    </i>
    <i r="1">
      <x v="14"/>
      <x v="4"/>
    </i>
    <i r="2">
      <x v="35"/>
    </i>
    <i r="1">
      <x v="16"/>
      <x v="24"/>
    </i>
    <i r="2">
      <x v="26"/>
    </i>
    <i r="2">
      <x v="41"/>
    </i>
    <i r="1">
      <x v="19"/>
      <x v="3"/>
    </i>
    <i r="2">
      <x v="37"/>
    </i>
    <i t="blank">
      <x v="34"/>
    </i>
    <i>
      <x v="35"/>
    </i>
    <i r="1">
      <x/>
      <x v="38"/>
    </i>
    <i r="1">
      <x v="1"/>
      <x v="28"/>
    </i>
    <i r="1">
      <x v="2"/>
      <x v="30"/>
    </i>
    <i r="1">
      <x v="3"/>
      <x v="40"/>
    </i>
    <i r="1">
      <x v="4"/>
      <x/>
    </i>
    <i r="1">
      <x v="5"/>
      <x v="3"/>
    </i>
    <i r="1">
      <x v="6"/>
      <x v="1"/>
    </i>
    <i r="1">
      <x v="7"/>
      <x v="29"/>
    </i>
    <i r="1">
      <x v="8"/>
      <x v="34"/>
    </i>
    <i r="1">
      <x v="9"/>
      <x v="27"/>
    </i>
    <i r="1">
      <x v="10"/>
      <x v="43"/>
    </i>
    <i r="1">
      <x v="11"/>
      <x v="44"/>
    </i>
    <i r="1">
      <x v="12"/>
      <x v="17"/>
    </i>
    <i r="1">
      <x v="13"/>
      <x v="2"/>
    </i>
    <i r="1">
      <x v="14"/>
      <x v="23"/>
    </i>
    <i r="1">
      <x v="15"/>
      <x v="37"/>
    </i>
    <i r="1">
      <x v="16"/>
      <x v="36"/>
    </i>
    <i r="1">
      <x v="17"/>
      <x v="35"/>
    </i>
    <i r="1">
      <x v="18"/>
      <x v="24"/>
    </i>
    <i r="1">
      <x v="19"/>
      <x v="33"/>
    </i>
    <i r="2">
      <x v="46"/>
    </i>
    <i t="blank">
      <x v="35"/>
    </i>
    <i>
      <x v="36"/>
    </i>
    <i r="1">
      <x/>
      <x v="3"/>
    </i>
    <i r="1">
      <x v="1"/>
      <x/>
    </i>
    <i r="1">
      <x v="2"/>
      <x v="40"/>
    </i>
    <i r="1">
      <x v="3"/>
      <x v="30"/>
    </i>
    <i r="1">
      <x v="4"/>
      <x v="1"/>
    </i>
    <i r="1">
      <x v="5"/>
      <x v="38"/>
    </i>
    <i r="1">
      <x v="6"/>
      <x v="28"/>
    </i>
    <i r="1">
      <x v="7"/>
      <x v="2"/>
    </i>
    <i r="1">
      <x v="8"/>
      <x v="43"/>
    </i>
    <i r="1">
      <x v="9"/>
      <x v="29"/>
    </i>
    <i r="1">
      <x v="10"/>
      <x v="34"/>
    </i>
    <i r="1">
      <x v="11"/>
      <x v="27"/>
    </i>
    <i r="1">
      <x v="12"/>
      <x v="44"/>
    </i>
    <i r="1">
      <x v="13"/>
      <x v="5"/>
    </i>
    <i r="1">
      <x v="14"/>
      <x v="4"/>
    </i>
    <i r="1">
      <x v="15"/>
      <x v="36"/>
    </i>
    <i r="1">
      <x v="16"/>
      <x v="6"/>
    </i>
    <i r="1">
      <x v="17"/>
      <x v="35"/>
    </i>
    <i r="1">
      <x v="18"/>
      <x v="24"/>
    </i>
    <i r="1">
      <x v="19"/>
      <x v="48"/>
    </i>
    <i t="blank">
      <x v="36"/>
    </i>
    <i>
      <x v="37"/>
    </i>
    <i r="1">
      <x/>
      <x v="38"/>
    </i>
    <i r="1">
      <x v="1"/>
      <x/>
    </i>
    <i r="1">
      <x v="2"/>
      <x v="40"/>
    </i>
    <i r="1">
      <x v="3"/>
      <x v="30"/>
    </i>
    <i r="1">
      <x v="4"/>
      <x v="28"/>
    </i>
    <i r="1">
      <x v="5"/>
      <x v="1"/>
    </i>
    <i r="1">
      <x v="6"/>
      <x v="29"/>
    </i>
    <i r="1">
      <x v="7"/>
      <x v="27"/>
    </i>
    <i r="2">
      <x v="34"/>
    </i>
    <i r="1">
      <x v="9"/>
      <x v="17"/>
    </i>
    <i r="1">
      <x v="10"/>
      <x v="24"/>
    </i>
    <i r="1">
      <x v="11"/>
      <x v="2"/>
    </i>
    <i r="2">
      <x v="43"/>
    </i>
    <i r="1">
      <x v="13"/>
      <x v="13"/>
    </i>
    <i r="1">
      <x v="14"/>
      <x v="35"/>
    </i>
    <i r="1">
      <x v="15"/>
      <x v="44"/>
    </i>
    <i r="1">
      <x v="16"/>
      <x v="4"/>
    </i>
    <i r="2">
      <x v="36"/>
    </i>
    <i r="2">
      <x v="46"/>
    </i>
    <i r="1">
      <x v="19"/>
      <x v="6"/>
    </i>
    <i r="2">
      <x v="25"/>
    </i>
    <i t="blank">
      <x v="37"/>
    </i>
    <i>
      <x v="38"/>
    </i>
    <i r="1">
      <x/>
      <x v="30"/>
    </i>
    <i r="1">
      <x v="1"/>
      <x v="40"/>
    </i>
    <i r="1">
      <x v="2"/>
      <x/>
    </i>
    <i r="1">
      <x v="3"/>
      <x v="10"/>
    </i>
    <i r="1">
      <x v="4"/>
      <x v="3"/>
    </i>
    <i r="1">
      <x v="5"/>
      <x v="38"/>
    </i>
    <i r="1">
      <x v="6"/>
      <x v="28"/>
    </i>
    <i r="1">
      <x v="7"/>
      <x v="43"/>
    </i>
    <i r="1">
      <x v="8"/>
      <x v="1"/>
    </i>
    <i r="1">
      <x v="9"/>
      <x v="34"/>
    </i>
    <i r="1">
      <x v="10"/>
      <x v="29"/>
    </i>
    <i r="1">
      <x v="11"/>
      <x v="2"/>
    </i>
    <i r="1">
      <x v="12"/>
      <x v="27"/>
    </i>
    <i r="1">
      <x v="13"/>
      <x v="44"/>
    </i>
    <i r="1">
      <x v="14"/>
      <x v="13"/>
    </i>
    <i r="1">
      <x v="15"/>
      <x v="35"/>
    </i>
    <i r="1">
      <x v="16"/>
      <x v="24"/>
    </i>
    <i r="1">
      <x v="17"/>
      <x v="36"/>
    </i>
    <i r="1">
      <x v="18"/>
      <x v="23"/>
    </i>
    <i r="1">
      <x v="19"/>
      <x v="45"/>
    </i>
    <i t="blank">
      <x v="38"/>
    </i>
    <i>
      <x v="39"/>
    </i>
    <i r="1">
      <x/>
      <x/>
    </i>
    <i r="1">
      <x v="1"/>
      <x v="40"/>
    </i>
    <i r="1">
      <x v="2"/>
      <x v="38"/>
    </i>
    <i r="1">
      <x v="3"/>
      <x v="1"/>
    </i>
    <i r="1">
      <x v="4"/>
      <x v="2"/>
    </i>
    <i r="1">
      <x v="5"/>
      <x v="28"/>
    </i>
    <i r="1">
      <x v="6"/>
      <x v="30"/>
    </i>
    <i r="2">
      <x v="43"/>
    </i>
    <i r="1">
      <x v="8"/>
      <x v="35"/>
    </i>
    <i r="2">
      <x v="36"/>
    </i>
    <i r="1">
      <x v="10"/>
      <x v="29"/>
    </i>
    <i r="1">
      <x v="11"/>
      <x v="41"/>
    </i>
    <i r="2">
      <x v="44"/>
    </i>
    <i r="1">
      <x v="13"/>
      <x v="26"/>
    </i>
    <i r="1">
      <x v="14"/>
      <x v="25"/>
    </i>
    <i r="2">
      <x v="46"/>
    </i>
    <i r="1">
      <x v="16"/>
      <x v="12"/>
    </i>
    <i r="2">
      <x v="24"/>
    </i>
    <i r="1">
      <x v="18"/>
      <x v="32"/>
    </i>
    <i r="1">
      <x v="19"/>
      <x v="18"/>
    </i>
    <i r="2">
      <x v="33"/>
    </i>
    <i r="2">
      <x v="34"/>
    </i>
    <i r="2">
      <x v="39"/>
    </i>
    <i r="2">
      <x v="42"/>
    </i>
    <i r="2">
      <x v="45"/>
    </i>
    <i t="blank">
      <x v="39"/>
    </i>
    <i>
      <x v="40"/>
    </i>
    <i r="1">
      <x/>
      <x v="4"/>
    </i>
    <i r="1">
      <x v="1"/>
      <x/>
    </i>
    <i r="1">
      <x v="2"/>
      <x v="1"/>
    </i>
    <i r="2">
      <x v="40"/>
    </i>
    <i r="1">
      <x v="4"/>
      <x v="30"/>
    </i>
    <i r="2">
      <x v="38"/>
    </i>
    <i r="1">
      <x v="6"/>
      <x v="29"/>
    </i>
    <i r="1">
      <x v="7"/>
      <x v="2"/>
    </i>
    <i r="1">
      <x v="8"/>
      <x v="28"/>
    </i>
    <i r="1">
      <x v="9"/>
      <x v="13"/>
    </i>
    <i r="1">
      <x v="10"/>
      <x v="27"/>
    </i>
    <i r="1">
      <x v="11"/>
      <x v="35"/>
    </i>
    <i r="2">
      <x v="36"/>
    </i>
    <i r="1">
      <x v="13"/>
      <x v="46"/>
    </i>
    <i r="1">
      <x v="14"/>
      <x v="3"/>
    </i>
    <i r="1">
      <x v="15"/>
      <x v="5"/>
    </i>
    <i r="2">
      <x v="17"/>
    </i>
    <i r="2">
      <x v="43"/>
    </i>
    <i r="1">
      <x v="18"/>
      <x v="8"/>
    </i>
    <i r="2">
      <x v="15"/>
    </i>
    <i r="2">
      <x v="44"/>
    </i>
    <i t="blank">
      <x v="40"/>
    </i>
    <i>
      <x v="41"/>
    </i>
    <i r="1">
      <x/>
      <x/>
    </i>
    <i r="1">
      <x v="1"/>
      <x v="40"/>
    </i>
    <i r="1">
      <x v="2"/>
      <x v="13"/>
    </i>
    <i r="2">
      <x v="38"/>
    </i>
    <i r="1">
      <x v="4"/>
      <x v="1"/>
    </i>
    <i r="1">
      <x v="5"/>
      <x v="34"/>
    </i>
    <i r="1">
      <x v="6"/>
      <x v="29"/>
    </i>
    <i r="2">
      <x v="30"/>
    </i>
    <i r="1">
      <x v="8"/>
      <x v="2"/>
    </i>
    <i r="2">
      <x v="15"/>
    </i>
    <i r="1">
      <x v="10"/>
      <x v="43"/>
    </i>
    <i r="1">
      <x v="11"/>
      <x v="28"/>
    </i>
    <i r="1">
      <x v="12"/>
      <x v="36"/>
    </i>
    <i r="1">
      <x v="13"/>
      <x v="46"/>
    </i>
    <i r="1">
      <x v="14"/>
      <x v="24"/>
    </i>
    <i r="1">
      <x v="15"/>
      <x v="14"/>
    </i>
    <i r="2">
      <x v="44"/>
    </i>
    <i r="1">
      <x v="17"/>
      <x v="35"/>
    </i>
    <i r="1">
      <x v="18"/>
      <x v="16"/>
    </i>
    <i r="1">
      <x v="19"/>
      <x v="6"/>
    </i>
    <i r="2">
      <x v="21"/>
    </i>
    <i t="blank">
      <x v="41"/>
    </i>
    <i>
      <x v="42"/>
    </i>
    <i r="1">
      <x/>
      <x v="38"/>
    </i>
    <i r="1">
      <x v="1"/>
      <x v="40"/>
    </i>
    <i r="1">
      <x v="2"/>
      <x v="30"/>
    </i>
    <i r="1">
      <x v="3"/>
      <x/>
    </i>
    <i r="1">
      <x v="4"/>
      <x v="43"/>
    </i>
    <i r="1">
      <x v="5"/>
      <x v="34"/>
    </i>
    <i r="1">
      <x v="6"/>
      <x v="1"/>
    </i>
    <i r="1">
      <x v="7"/>
      <x v="28"/>
    </i>
    <i r="1">
      <x v="8"/>
      <x v="29"/>
    </i>
    <i r="1">
      <x v="9"/>
      <x v="41"/>
    </i>
    <i r="2">
      <x v="44"/>
    </i>
    <i r="1">
      <x v="11"/>
      <x v="2"/>
    </i>
    <i r="2">
      <x v="33"/>
    </i>
    <i r="1">
      <x v="13"/>
      <x v="35"/>
    </i>
    <i r="1">
      <x v="14"/>
      <x v="24"/>
    </i>
    <i r="1">
      <x v="15"/>
      <x v="13"/>
    </i>
    <i r="1">
      <x v="16"/>
      <x v="15"/>
    </i>
    <i r="2">
      <x v="27"/>
    </i>
    <i r="2">
      <x v="36"/>
    </i>
    <i r="1">
      <x v="19"/>
      <x v="25"/>
    </i>
    <i t="blank">
      <x v="42"/>
    </i>
    <i>
      <x v="43"/>
    </i>
    <i r="1">
      <x/>
      <x/>
    </i>
    <i r="1">
      <x v="1"/>
      <x v="40"/>
    </i>
    <i r="1">
      <x v="2"/>
      <x v="1"/>
    </i>
    <i r="1">
      <x v="3"/>
      <x v="30"/>
    </i>
    <i r="1">
      <x v="4"/>
      <x v="38"/>
    </i>
    <i r="1">
      <x v="5"/>
      <x v="17"/>
    </i>
    <i r="1">
      <x v="6"/>
      <x v="2"/>
    </i>
    <i r="2">
      <x v="13"/>
    </i>
    <i r="2">
      <x v="28"/>
    </i>
    <i r="1">
      <x v="9"/>
      <x v="8"/>
    </i>
    <i r="2">
      <x v="29"/>
    </i>
    <i r="1">
      <x v="11"/>
      <x v="43"/>
    </i>
    <i r="1">
      <x v="12"/>
      <x v="16"/>
    </i>
    <i r="2">
      <x v="36"/>
    </i>
    <i r="2">
      <x v="46"/>
    </i>
    <i r="1">
      <x v="15"/>
      <x v="27"/>
    </i>
    <i r="1">
      <x v="16"/>
      <x v="44"/>
    </i>
    <i r="1">
      <x v="17"/>
      <x v="5"/>
    </i>
    <i r="2">
      <x v="6"/>
    </i>
    <i r="2">
      <x v="12"/>
    </i>
    <i r="2">
      <x v="15"/>
    </i>
    <i t="blank">
      <x v="43"/>
    </i>
    <i>
      <x v="44"/>
    </i>
    <i r="1">
      <x/>
      <x v="40"/>
    </i>
    <i r="1">
      <x v="1"/>
      <x v="30"/>
    </i>
    <i r="1">
      <x v="2"/>
      <x/>
    </i>
    <i r="1">
      <x v="3"/>
      <x v="34"/>
    </i>
    <i r="2">
      <x v="38"/>
    </i>
    <i r="1">
      <x v="5"/>
      <x v="43"/>
    </i>
    <i r="1">
      <x v="6"/>
      <x v="28"/>
    </i>
    <i r="1">
      <x v="7"/>
      <x v="1"/>
    </i>
    <i r="2">
      <x v="29"/>
    </i>
    <i r="1">
      <x v="9"/>
      <x v="2"/>
    </i>
    <i r="1">
      <x v="10"/>
      <x v="13"/>
    </i>
    <i r="2">
      <x v="31"/>
    </i>
    <i r="1">
      <x v="12"/>
      <x v="36"/>
    </i>
    <i r="1">
      <x v="13"/>
      <x v="27"/>
    </i>
    <i r="2">
      <x v="44"/>
    </i>
    <i r="1">
      <x v="15"/>
      <x v="46"/>
    </i>
    <i r="1">
      <x v="16"/>
      <x v="15"/>
    </i>
    <i r="2">
      <x v="16"/>
    </i>
    <i r="2">
      <x v="24"/>
    </i>
    <i r="1">
      <x v="19"/>
      <x v="41"/>
    </i>
    <i t="blank">
      <x v="44"/>
    </i>
    <i>
      <x v="45"/>
    </i>
    <i r="1">
      <x/>
      <x v="38"/>
    </i>
    <i r="1">
      <x v="1"/>
      <x/>
    </i>
    <i r="2">
      <x v="1"/>
    </i>
    <i r="1">
      <x v="3"/>
      <x v="40"/>
    </i>
    <i r="1">
      <x v="4"/>
      <x v="28"/>
    </i>
    <i r="1">
      <x v="5"/>
      <x v="30"/>
    </i>
    <i r="1">
      <x v="6"/>
      <x v="43"/>
    </i>
    <i r="1">
      <x v="7"/>
      <x v="2"/>
    </i>
    <i r="2">
      <x v="46"/>
    </i>
    <i r="1">
      <x v="9"/>
      <x v="29"/>
    </i>
    <i r="1">
      <x v="10"/>
      <x v="27"/>
    </i>
    <i r="1">
      <x v="11"/>
      <x v="5"/>
    </i>
    <i r="1">
      <x v="12"/>
      <x v="34"/>
    </i>
    <i r="2">
      <x v="36"/>
    </i>
    <i r="1">
      <x v="14"/>
      <x v="44"/>
    </i>
    <i r="1">
      <x v="15"/>
      <x v="20"/>
    </i>
    <i r="2">
      <x v="48"/>
    </i>
    <i r="1">
      <x v="17"/>
      <x v="31"/>
    </i>
    <i r="2">
      <x v="35"/>
    </i>
    <i r="2">
      <x v="41"/>
    </i>
    <i r="2">
      <x v="42"/>
    </i>
    <i t="blank">
      <x v="45"/>
    </i>
    <i>
      <x v="46"/>
    </i>
    <i r="1">
      <x/>
      <x v="40"/>
    </i>
    <i r="1">
      <x v="1"/>
      <x v="38"/>
    </i>
    <i r="1">
      <x v="2"/>
      <x/>
    </i>
    <i r="2">
      <x v="43"/>
    </i>
    <i r="1">
      <x v="4"/>
      <x v="34"/>
    </i>
    <i r="1">
      <x v="5"/>
      <x v="30"/>
    </i>
    <i r="1">
      <x v="6"/>
      <x v="2"/>
    </i>
    <i r="1">
      <x v="7"/>
      <x v="1"/>
    </i>
    <i r="1">
      <x v="8"/>
      <x v="28"/>
    </i>
    <i r="1">
      <x v="9"/>
      <x v="29"/>
    </i>
    <i r="1">
      <x v="10"/>
      <x v="27"/>
    </i>
    <i r="1">
      <x v="11"/>
      <x v="35"/>
    </i>
    <i r="1">
      <x v="12"/>
      <x v="44"/>
    </i>
    <i r="1">
      <x v="13"/>
      <x v="46"/>
    </i>
    <i r="1">
      <x v="14"/>
      <x v="25"/>
    </i>
    <i r="2">
      <x v="39"/>
    </i>
    <i r="1">
      <x v="16"/>
      <x v="10"/>
    </i>
    <i r="2">
      <x v="33"/>
    </i>
    <i r="2">
      <x v="36"/>
    </i>
    <i r="1">
      <x v="19"/>
      <x v="3"/>
    </i>
    <i r="2">
      <x v="13"/>
    </i>
    <i r="2">
      <x v="31"/>
    </i>
    <i t="blank">
      <x v="46"/>
    </i>
    <i>
      <x v="47"/>
    </i>
    <i r="1">
      <x/>
      <x/>
    </i>
    <i r="1">
      <x v="1"/>
      <x v="40"/>
    </i>
    <i r="1">
      <x v="2"/>
      <x v="30"/>
    </i>
    <i r="1">
      <x v="3"/>
      <x v="38"/>
    </i>
    <i r="1">
      <x v="4"/>
      <x v="34"/>
    </i>
    <i r="1">
      <x v="5"/>
      <x v="28"/>
    </i>
    <i r="1">
      <x v="6"/>
      <x v="2"/>
    </i>
    <i r="2">
      <x v="43"/>
    </i>
    <i r="1">
      <x v="8"/>
      <x v="1"/>
    </i>
    <i r="1">
      <x v="9"/>
      <x v="44"/>
    </i>
    <i r="1">
      <x v="10"/>
      <x v="29"/>
    </i>
    <i r="2">
      <x v="36"/>
    </i>
    <i r="1">
      <x v="12"/>
      <x v="27"/>
    </i>
    <i r="1">
      <x v="13"/>
      <x v="41"/>
    </i>
    <i r="1">
      <x v="14"/>
      <x v="24"/>
    </i>
    <i r="1">
      <x v="15"/>
      <x v="23"/>
    </i>
    <i r="2">
      <x v="33"/>
    </i>
    <i r="2">
      <x v="46"/>
    </i>
    <i r="1">
      <x v="18"/>
      <x v="13"/>
    </i>
    <i r="2">
      <x v="31"/>
    </i>
    <i r="2">
      <x v="39"/>
    </i>
    <i r="2">
      <x v="45"/>
    </i>
    <i t="blank">
      <x v="47"/>
    </i>
    <i>
      <x v="48"/>
    </i>
    <i r="1">
      <x/>
      <x/>
    </i>
    <i r="1">
      <x v="1"/>
      <x v="40"/>
    </i>
    <i r="1">
      <x v="2"/>
      <x v="38"/>
    </i>
    <i r="1">
      <x v="3"/>
      <x v="30"/>
    </i>
    <i r="1">
      <x v="4"/>
      <x v="1"/>
    </i>
    <i r="2">
      <x v="28"/>
    </i>
    <i r="1">
      <x v="6"/>
      <x v="2"/>
    </i>
    <i r="2">
      <x v="29"/>
    </i>
    <i r="1">
      <x v="8"/>
      <x v="27"/>
    </i>
    <i r="2">
      <x v="43"/>
    </i>
    <i r="1">
      <x v="10"/>
      <x v="3"/>
    </i>
    <i r="1">
      <x v="11"/>
      <x v="36"/>
    </i>
    <i r="1">
      <x v="12"/>
      <x v="46"/>
    </i>
    <i r="1">
      <x v="13"/>
      <x v="31"/>
    </i>
    <i r="1">
      <x v="14"/>
      <x v="32"/>
    </i>
    <i r="1">
      <x v="15"/>
      <x v="26"/>
    </i>
    <i r="1">
      <x v="16"/>
      <x v="4"/>
    </i>
    <i r="2">
      <x v="34"/>
    </i>
    <i r="2">
      <x v="44"/>
    </i>
    <i r="1">
      <x v="19"/>
      <x v="35"/>
    </i>
    <i r="2">
      <x v="45"/>
    </i>
    <i t="blank">
      <x v="48"/>
    </i>
    <i>
      <x v="49"/>
    </i>
    <i r="1">
      <x/>
      <x v="37"/>
    </i>
    <i r="1">
      <x v="1"/>
      <x v="30"/>
    </i>
    <i r="1">
      <x v="2"/>
      <x v="28"/>
    </i>
    <i r="1">
      <x v="3"/>
      <x v="40"/>
    </i>
    <i r="1">
      <x v="4"/>
      <x/>
    </i>
    <i r="1">
      <x v="5"/>
      <x v="3"/>
    </i>
    <i r="1">
      <x v="6"/>
      <x v="38"/>
    </i>
    <i r="1">
      <x v="7"/>
      <x v="1"/>
    </i>
    <i r="1">
      <x v="8"/>
      <x v="43"/>
    </i>
    <i r="1">
      <x v="9"/>
      <x v="29"/>
    </i>
    <i r="1">
      <x v="10"/>
      <x v="2"/>
    </i>
    <i r="1">
      <x v="11"/>
      <x v="27"/>
    </i>
    <i r="1">
      <x v="12"/>
      <x v="44"/>
    </i>
    <i r="1">
      <x v="13"/>
      <x v="36"/>
    </i>
    <i r="1">
      <x v="14"/>
      <x v="23"/>
    </i>
    <i r="1">
      <x v="15"/>
      <x v="35"/>
    </i>
    <i r="1">
      <x v="16"/>
      <x v="24"/>
    </i>
    <i r="2">
      <x v="46"/>
    </i>
    <i r="1">
      <x v="18"/>
      <x v="13"/>
    </i>
    <i r="2">
      <x v="14"/>
    </i>
    <i r="2">
      <x v="25"/>
    </i>
    <i r="2">
      <x v="34"/>
    </i>
    <i r="2">
      <x v="39"/>
    </i>
    <i t="blank">
      <x v="49"/>
    </i>
    <i>
      <x v="50"/>
    </i>
    <i r="1">
      <x/>
      <x v="38"/>
    </i>
    <i r="1">
      <x v="1"/>
      <x/>
    </i>
    <i r="1">
      <x v="2"/>
      <x v="40"/>
    </i>
    <i r="1">
      <x v="3"/>
      <x v="30"/>
    </i>
    <i r="1">
      <x v="4"/>
      <x v="28"/>
    </i>
    <i r="1">
      <x v="5"/>
      <x v="1"/>
    </i>
    <i r="1">
      <x v="6"/>
      <x v="37"/>
    </i>
    <i r="1">
      <x v="7"/>
      <x v="29"/>
    </i>
    <i r="1">
      <x v="8"/>
      <x v="34"/>
    </i>
    <i r="1">
      <x v="9"/>
      <x v="2"/>
    </i>
    <i r="2">
      <x v="3"/>
    </i>
    <i r="1">
      <x v="11"/>
      <x v="43"/>
    </i>
    <i r="2">
      <x v="46"/>
    </i>
    <i r="1">
      <x v="13"/>
      <x v="23"/>
    </i>
    <i r="2">
      <x v="27"/>
    </i>
    <i r="2">
      <x v="35"/>
    </i>
    <i r="2">
      <x v="44"/>
    </i>
    <i r="1">
      <x v="17"/>
      <x v="31"/>
    </i>
    <i r="2">
      <x v="36"/>
    </i>
    <i r="1">
      <x v="19"/>
      <x v="20"/>
    </i>
    <i r="2">
      <x v="47"/>
    </i>
    <i t="blank">
      <x v="50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751">
      <pivotArea field="5" type="button" dataOnly="0" labelOnly="1" outline="0" axis="axisRow" fieldPosition="0"/>
    </format>
    <format dxfId="750">
      <pivotArea outline="0" fieldPosition="0">
        <references count="1">
          <reference field="4294967294" count="1">
            <x v="0"/>
          </reference>
        </references>
      </pivotArea>
    </format>
    <format dxfId="749">
      <pivotArea outline="0" fieldPosition="0">
        <references count="1">
          <reference field="4294967294" count="1">
            <x v="1"/>
          </reference>
        </references>
      </pivotArea>
    </format>
    <format dxfId="748">
      <pivotArea outline="0" fieldPosition="0">
        <references count="1">
          <reference field="4294967294" count="1">
            <x v="2"/>
          </reference>
        </references>
      </pivotArea>
    </format>
    <format dxfId="747">
      <pivotArea outline="0" fieldPosition="0">
        <references count="1">
          <reference field="4294967294" count="1">
            <x v="3"/>
          </reference>
        </references>
      </pivotArea>
    </format>
    <format dxfId="746">
      <pivotArea outline="0" fieldPosition="0">
        <references count="1">
          <reference field="4294967294" count="1">
            <x v="4"/>
          </reference>
        </references>
      </pivotArea>
    </format>
    <format dxfId="745">
      <pivotArea outline="0" fieldPosition="0">
        <references count="1">
          <reference field="4294967294" count="1">
            <x v="5"/>
          </reference>
        </references>
      </pivotArea>
    </format>
    <format dxfId="744">
      <pivotArea outline="0" fieldPosition="0">
        <references count="1">
          <reference field="4294967294" count="1">
            <x v="6"/>
          </reference>
        </references>
      </pivotArea>
    </format>
    <format dxfId="743">
      <pivotArea field="5" type="button" dataOnly="0" labelOnly="1" outline="0" axis="axisRow" fieldPosition="0"/>
    </format>
    <format dxfId="74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41">
      <pivotArea field="5" type="button" dataOnly="0" labelOnly="1" outline="0" axis="axisRow" fieldPosition="0"/>
    </format>
    <format dxfId="74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39">
      <pivotArea field="5" type="button" dataOnly="0" labelOnly="1" outline="0" axis="axisRow" fieldPosition="0"/>
    </format>
    <format dxfId="73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37">
      <pivotArea field="5" type="button" dataOnly="0" labelOnly="1" outline="0" axis="axisRow" fieldPosition="0"/>
    </format>
    <format dxfId="73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3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3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33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vt_S" cacheId="373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156" firstHeaderRow="0" firstDataRow="1" firstDataCol="2"/>
  <pivotFields count="19">
    <pivotField showAll="0" defaultSubtota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5">
        <item x="0"/>
        <item x="1"/>
        <item x="2"/>
        <item x="3"/>
        <item x="4"/>
      </items>
    </pivotField>
    <pivotField showAll="0" defaultSubtotal="0">
      <items count="51">
        <item x="38"/>
        <item x="16"/>
        <item x="17"/>
        <item x="41"/>
        <item x="42"/>
        <item x="20"/>
        <item x="29"/>
        <item x="37"/>
        <item x="25"/>
        <item x="48"/>
        <item x="28"/>
        <item x="24"/>
        <item x="36"/>
        <item x="30"/>
        <item x="15"/>
        <item x="27"/>
        <item x="1"/>
        <item x="6"/>
        <item x="7"/>
        <item x="10"/>
        <item x="9"/>
        <item x="5"/>
        <item x="2"/>
        <item x="3"/>
        <item x="4"/>
        <item x="8"/>
        <item x="43"/>
        <item x="45"/>
        <item x="44"/>
        <item x="14"/>
        <item x="22"/>
        <item x="47"/>
        <item x="21"/>
        <item x="26"/>
        <item x="39"/>
        <item x="18"/>
        <item x="40"/>
        <item x="32"/>
        <item x="35"/>
        <item x="34"/>
        <item x="33"/>
        <item x="12"/>
        <item x="49"/>
        <item x="50"/>
        <item x="11"/>
        <item x="0"/>
        <item x="23"/>
        <item x="19"/>
        <item x="13"/>
        <item x="46"/>
        <item x="31"/>
      </items>
    </pivotField>
    <pivotField axis="axisRow" showAll="0" insertBlankRow="1" defaultSubtota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</items>
    </pivotField>
    <pivotField showAll="0" defaultSubtotal="0">
      <items count="87">
        <item x="10"/>
        <item x="17"/>
        <item x="42"/>
        <item x="28"/>
        <item x="59"/>
        <item x="64"/>
        <item x="43"/>
        <item x="65"/>
        <item x="19"/>
        <item x="35"/>
        <item x="72"/>
        <item x="69"/>
        <item x="81"/>
        <item x="48"/>
        <item x="80"/>
        <item x="50"/>
        <item x="49"/>
        <item x="66"/>
        <item x="30"/>
        <item x="62"/>
        <item x="84"/>
        <item x="85"/>
        <item x="31"/>
        <item x="76"/>
        <item x="32"/>
        <item x="45"/>
        <item x="67"/>
        <item x="63"/>
        <item x="83"/>
        <item x="52"/>
        <item x="58"/>
        <item x="56"/>
        <item x="60"/>
        <item x="33"/>
        <item x="61"/>
        <item x="57"/>
        <item x="51"/>
        <item x="53"/>
        <item x="73"/>
        <item x="36"/>
        <item x="68"/>
        <item x="70"/>
        <item x="39"/>
        <item x="75"/>
        <item x="11"/>
        <item x="24"/>
        <item x="74"/>
        <item x="29"/>
        <item x="25"/>
        <item x="12"/>
        <item x="13"/>
        <item x="34"/>
        <item x="71"/>
        <item x="54"/>
        <item x="18"/>
        <item x="47"/>
        <item x="4"/>
        <item x="86"/>
        <item x="78"/>
        <item x="15"/>
        <item x="22"/>
        <item x="1"/>
        <item x="23"/>
        <item x="20"/>
        <item x="37"/>
        <item x="55"/>
        <item x="38"/>
        <item x="77"/>
        <item x="26"/>
        <item x="44"/>
        <item x="46"/>
        <item x="7"/>
        <item x="8"/>
        <item x="3"/>
        <item x="2"/>
        <item x="21"/>
        <item x="14"/>
        <item x="6"/>
        <item x="0"/>
        <item x="40"/>
        <item x="82"/>
        <item x="79"/>
        <item x="16"/>
        <item x="5"/>
        <item x="27"/>
        <item x="9"/>
        <item x="41"/>
      </items>
    </pivotField>
    <pivotField showAll="0" defaultSubtotal="0">
      <items count="87">
        <item x="10"/>
        <item x="17"/>
        <item x="42"/>
        <item x="28"/>
        <item x="59"/>
        <item x="64"/>
        <item x="43"/>
        <item x="65"/>
        <item x="19"/>
        <item x="35"/>
        <item x="72"/>
        <item x="69"/>
        <item x="81"/>
        <item x="48"/>
        <item x="80"/>
        <item x="50"/>
        <item x="49"/>
        <item x="66"/>
        <item x="30"/>
        <item x="62"/>
        <item x="84"/>
        <item x="85"/>
        <item x="31"/>
        <item x="76"/>
        <item x="32"/>
        <item x="45"/>
        <item x="67"/>
        <item x="63"/>
        <item x="83"/>
        <item x="52"/>
        <item x="58"/>
        <item x="56"/>
        <item x="60"/>
        <item x="33"/>
        <item x="61"/>
        <item x="57"/>
        <item x="51"/>
        <item x="53"/>
        <item x="73"/>
        <item x="36"/>
        <item x="68"/>
        <item x="70"/>
        <item x="39"/>
        <item x="75"/>
        <item x="11"/>
        <item x="24"/>
        <item x="74"/>
        <item x="29"/>
        <item x="25"/>
        <item x="12"/>
        <item x="13"/>
        <item x="34"/>
        <item x="71"/>
        <item x="54"/>
        <item x="18"/>
        <item x="47"/>
        <item x="4"/>
        <item x="86"/>
        <item x="78"/>
        <item x="15"/>
        <item x="22"/>
        <item x="1"/>
        <item x="23"/>
        <item x="20"/>
        <item x="37"/>
        <item x="55"/>
        <item x="38"/>
        <item x="77"/>
        <item x="26"/>
        <item x="44"/>
        <item x="46"/>
        <item x="7"/>
        <item x="8"/>
        <item x="3"/>
        <item x="2"/>
        <item x="21"/>
        <item x="14"/>
        <item x="6"/>
        <item x="0"/>
        <item x="40"/>
        <item x="82"/>
        <item x="79"/>
        <item x="16"/>
        <item x="5"/>
        <item x="27"/>
        <item x="9"/>
        <item x="41"/>
      </items>
    </pivotField>
    <pivotField showAll="0" defaultSubtotal="0">
      <items count="87">
        <item x="45"/>
        <item x="51"/>
        <item x="31"/>
        <item x="54"/>
        <item x="85"/>
        <item x="21"/>
        <item x="12"/>
        <item x="24"/>
        <item x="65"/>
        <item x="69"/>
        <item x="61"/>
        <item x="40"/>
        <item x="49"/>
        <item x="76"/>
        <item x="3"/>
        <item x="53"/>
        <item x="18"/>
        <item x="60"/>
        <item x="36"/>
        <item x="30"/>
        <item x="71"/>
        <item x="25"/>
        <item x="32"/>
        <item x="16"/>
        <item x="35"/>
        <item x="34"/>
        <item x="2"/>
        <item x="5"/>
        <item x="33"/>
        <item x="56"/>
        <item x="77"/>
        <item x="58"/>
        <item x="67"/>
        <item x="28"/>
        <item x="17"/>
        <item x="70"/>
        <item x="75"/>
        <item x="55"/>
        <item x="38"/>
        <item x="62"/>
        <item x="50"/>
        <item x="64"/>
        <item x="27"/>
        <item x="57"/>
        <item x="13"/>
        <item x="41"/>
        <item x="29"/>
        <item x="8"/>
        <item x="48"/>
        <item x="46"/>
        <item x="72"/>
        <item x="66"/>
        <item x="81"/>
        <item x="7"/>
        <item x="14"/>
        <item x="80"/>
        <item x="74"/>
        <item x="39"/>
        <item x="4"/>
        <item x="79"/>
        <item x="73"/>
        <item x="1"/>
        <item x="59"/>
        <item x="23"/>
        <item x="86"/>
        <item x="83"/>
        <item x="19"/>
        <item x="43"/>
        <item x="26"/>
        <item x="10"/>
        <item x="63"/>
        <item x="47"/>
        <item x="68"/>
        <item x="84"/>
        <item x="0"/>
        <item x="20"/>
        <item x="15"/>
        <item x="22"/>
        <item x="11"/>
        <item x="82"/>
        <item x="78"/>
        <item x="37"/>
        <item x="42"/>
        <item x="52"/>
        <item x="6"/>
        <item x="44"/>
        <item x="9"/>
      </items>
    </pivotField>
    <pivotField axis="axisRow" showAll="0" defaultSubtotal="0">
      <items count="87">
        <item x="10"/>
        <item x="17"/>
        <item x="42"/>
        <item x="28"/>
        <item x="59"/>
        <item x="64"/>
        <item x="43"/>
        <item x="65"/>
        <item x="19"/>
        <item x="35"/>
        <item x="72"/>
        <item x="69"/>
        <item x="81"/>
        <item x="48"/>
        <item x="80"/>
        <item x="50"/>
        <item x="49"/>
        <item x="66"/>
        <item x="30"/>
        <item x="62"/>
        <item x="84"/>
        <item x="85"/>
        <item x="31"/>
        <item x="76"/>
        <item x="32"/>
        <item x="45"/>
        <item x="67"/>
        <item x="63"/>
        <item x="83"/>
        <item x="52"/>
        <item x="58"/>
        <item x="56"/>
        <item x="60"/>
        <item x="33"/>
        <item x="61"/>
        <item x="57"/>
        <item x="51"/>
        <item x="53"/>
        <item x="73"/>
        <item x="36"/>
        <item x="68"/>
        <item x="70"/>
        <item x="39"/>
        <item x="75"/>
        <item x="11"/>
        <item x="24"/>
        <item x="74"/>
        <item x="29"/>
        <item x="25"/>
        <item x="12"/>
        <item x="13"/>
        <item x="34"/>
        <item x="71"/>
        <item x="54"/>
        <item x="18"/>
        <item x="47"/>
        <item x="4"/>
        <item x="86"/>
        <item x="78"/>
        <item x="15"/>
        <item x="22"/>
        <item x="1"/>
        <item x="23"/>
        <item x="20"/>
        <item x="37"/>
        <item x="55"/>
        <item x="38"/>
        <item x="77"/>
        <item x="26"/>
        <item x="44"/>
        <item x="46"/>
        <item x="7"/>
        <item x="8"/>
        <item x="3"/>
        <item x="2"/>
        <item x="21"/>
        <item x="14"/>
        <item x="6"/>
        <item x="0"/>
        <item x="40"/>
        <item x="82"/>
        <item x="79"/>
        <item x="16"/>
        <item x="5"/>
        <item x="27"/>
        <item x="9"/>
        <item x="41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244">
        <item x="243"/>
        <item x="242"/>
        <item x="241"/>
        <item x="240"/>
        <item x="239"/>
        <item x="238"/>
        <item x="218"/>
        <item x="217"/>
        <item x="216"/>
        <item x="215"/>
        <item x="235"/>
        <item x="234"/>
        <item x="214"/>
        <item x="229"/>
        <item x="213"/>
        <item x="212"/>
        <item x="228"/>
        <item x="227"/>
        <item x="211"/>
        <item x="226"/>
        <item x="205"/>
        <item x="204"/>
        <item x="230"/>
        <item x="203"/>
        <item x="202"/>
        <item x="201"/>
        <item x="200"/>
        <item x="114"/>
        <item x="113"/>
        <item x="208"/>
        <item x="112"/>
        <item x="111"/>
        <item x="110"/>
        <item x="109"/>
        <item x="108"/>
        <item x="107"/>
        <item x="199"/>
        <item x="124"/>
        <item x="74"/>
        <item x="121"/>
        <item x="100"/>
        <item x="99"/>
        <item x="73"/>
        <item x="72"/>
        <item x="98"/>
        <item x="145"/>
        <item x="71"/>
        <item x="70"/>
        <item x="57"/>
        <item x="56"/>
        <item x="55"/>
        <item x="106"/>
        <item x="54"/>
        <item x="69"/>
        <item x="221"/>
        <item x="86"/>
        <item x="105"/>
        <item x="97"/>
        <item x="53"/>
        <item x="104"/>
        <item x="52"/>
        <item x="51"/>
        <item x="120"/>
        <item x="96"/>
        <item x="144"/>
        <item x="119"/>
        <item x="85"/>
        <item x="95"/>
        <item x="103"/>
        <item x="94"/>
        <item x="143"/>
        <item x="118"/>
        <item x="68"/>
        <item x="50"/>
        <item x="49"/>
        <item x="67"/>
        <item x="210"/>
        <item x="207"/>
        <item x="186"/>
        <item x="66"/>
        <item x="185"/>
        <item x="93"/>
        <item x="92"/>
        <item x="184"/>
        <item x="237"/>
        <item x="48"/>
        <item x="65"/>
        <item x="198"/>
        <item x="64"/>
        <item x="232"/>
        <item x="206"/>
        <item x="183"/>
        <item x="84"/>
        <item x="91"/>
        <item x="83"/>
        <item x="47"/>
        <item x="63"/>
        <item x="209"/>
        <item x="46"/>
        <item x="225"/>
        <item x="102"/>
        <item x="45"/>
        <item x="44"/>
        <item x="82"/>
        <item x="62"/>
        <item x="182"/>
        <item x="101"/>
        <item x="90"/>
        <item x="43"/>
        <item x="81"/>
        <item x="61"/>
        <item x="224"/>
        <item x="89"/>
        <item x="80"/>
        <item x="233"/>
        <item x="42"/>
        <item x="123"/>
        <item x="60"/>
        <item x="117"/>
        <item x="220"/>
        <item x="178"/>
        <item x="116"/>
        <item x="141"/>
        <item x="219"/>
        <item x="79"/>
        <item x="78"/>
        <item x="140"/>
        <item x="41"/>
        <item x="142"/>
        <item x="59"/>
        <item x="122"/>
        <item x="177"/>
        <item x="181"/>
        <item x="40"/>
        <item x="139"/>
        <item x="197"/>
        <item x="180"/>
        <item x="58"/>
        <item x="231"/>
        <item x="176"/>
        <item x="138"/>
        <item x="223"/>
        <item x="163"/>
        <item x="137"/>
        <item x="175"/>
        <item x="196"/>
        <item x="115"/>
        <item x="77"/>
        <item x="136"/>
        <item x="162"/>
        <item x="195"/>
        <item x="135"/>
        <item x="194"/>
        <item x="88"/>
        <item x="161"/>
        <item x="76"/>
        <item x="87"/>
        <item x="160"/>
        <item x="174"/>
        <item x="159"/>
        <item x="158"/>
        <item x="134"/>
        <item x="39"/>
        <item x="75"/>
        <item x="157"/>
        <item x="156"/>
        <item x="173"/>
        <item x="193"/>
        <item x="133"/>
        <item x="132"/>
        <item x="236"/>
        <item x="192"/>
        <item x="191"/>
        <item x="155"/>
        <item x="172"/>
        <item x="171"/>
        <item x="190"/>
        <item x="170"/>
        <item x="169"/>
        <item x="154"/>
        <item x="168"/>
        <item x="222"/>
        <item x="179"/>
        <item x="131"/>
        <item x="153"/>
        <item x="189"/>
        <item x="130"/>
        <item x="129"/>
        <item x="152"/>
        <item x="128"/>
        <item x="151"/>
        <item x="150"/>
        <item x="167"/>
        <item x="127"/>
        <item x="166"/>
        <item x="165"/>
        <item x="149"/>
        <item x="38"/>
        <item x="148"/>
        <item x="37"/>
        <item x="36"/>
        <item x="188"/>
        <item x="187"/>
        <item x="147"/>
        <item x="164"/>
        <item x="35"/>
        <item x="34"/>
        <item x="126"/>
        <item x="33"/>
        <item x="32"/>
        <item x="31"/>
        <item x="30"/>
        <item x="146"/>
        <item x="29"/>
        <item x="28"/>
        <item x="27"/>
        <item x="26"/>
        <item x="25"/>
        <item x="24"/>
        <item x="125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327">
        <item x="287"/>
        <item x="37"/>
        <item x="84"/>
        <item x="261"/>
        <item x="83"/>
        <item x="36"/>
        <item x="35"/>
        <item x="216"/>
        <item x="292"/>
        <item x="82"/>
        <item x="98"/>
        <item x="144"/>
        <item x="17"/>
        <item x="16"/>
        <item x="15"/>
        <item x="56"/>
        <item x="14"/>
        <item x="55"/>
        <item x="34"/>
        <item x="215"/>
        <item x="54"/>
        <item x="172"/>
        <item x="244"/>
        <item x="143"/>
        <item x="289"/>
        <item x="53"/>
        <item x="160"/>
        <item x="133"/>
        <item x="33"/>
        <item x="32"/>
        <item x="112"/>
        <item x="271"/>
        <item x="31"/>
        <item x="13"/>
        <item x="111"/>
        <item x="124"/>
        <item x="151"/>
        <item x="71"/>
        <item x="110"/>
        <item x="142"/>
        <item x="52"/>
        <item x="12"/>
        <item x="109"/>
        <item x="30"/>
        <item x="194"/>
        <item x="51"/>
        <item x="70"/>
        <item x="50"/>
        <item x="97"/>
        <item x="266"/>
        <item x="11"/>
        <item x="243"/>
        <item x="171"/>
        <item x="132"/>
        <item x="181"/>
        <item x="123"/>
        <item x="96"/>
        <item x="159"/>
        <item x="10"/>
        <item x="69"/>
        <item x="224"/>
        <item x="170"/>
        <item x="81"/>
        <item x="141"/>
        <item x="95"/>
        <item x="202"/>
        <item x="232"/>
        <item x="29"/>
        <item x="258"/>
        <item x="283"/>
        <item x="158"/>
        <item x="122"/>
        <item x="291"/>
        <item x="9"/>
        <item x="94"/>
        <item x="80"/>
        <item x="180"/>
        <item x="49"/>
        <item x="223"/>
        <item x="48"/>
        <item x="150"/>
        <item x="214"/>
        <item x="28"/>
        <item x="27"/>
        <item x="169"/>
        <item x="253"/>
        <item x="93"/>
        <item x="121"/>
        <item x="79"/>
        <item x="179"/>
        <item x="270"/>
        <item x="157"/>
        <item x="229"/>
        <item x="188"/>
        <item x="236"/>
        <item x="108"/>
        <item x="209"/>
        <item x="120"/>
        <item x="149"/>
        <item x="140"/>
        <item x="265"/>
        <item x="320"/>
        <item x="156"/>
        <item x="131"/>
        <item x="78"/>
        <item x="242"/>
        <item x="47"/>
        <item x="107"/>
        <item x="187"/>
        <item x="77"/>
        <item x="92"/>
        <item x="106"/>
        <item x="8"/>
        <item x="91"/>
        <item x="119"/>
        <item x="68"/>
        <item x="257"/>
        <item x="148"/>
        <item x="26"/>
        <item x="208"/>
        <item x="222"/>
        <item x="235"/>
        <item x="130"/>
        <item x="67"/>
        <item x="7"/>
        <item x="286"/>
        <item x="105"/>
        <item x="129"/>
        <item x="25"/>
        <item x="300"/>
        <item x="46"/>
        <item x="193"/>
        <item x="118"/>
        <item x="264"/>
        <item x="6"/>
        <item x="66"/>
        <item x="45"/>
        <item x="5"/>
        <item x="104"/>
        <item x="326"/>
        <item x="90"/>
        <item x="103"/>
        <item x="155"/>
        <item x="44"/>
        <item x="89"/>
        <item x="43"/>
        <item x="168"/>
        <item x="207"/>
        <item x="147"/>
        <item x="24"/>
        <item x="213"/>
        <item x="167"/>
        <item x="221"/>
        <item x="166"/>
        <item x="65"/>
        <item x="4"/>
        <item x="282"/>
        <item x="307"/>
        <item x="3"/>
        <item x="206"/>
        <item x="64"/>
        <item x="128"/>
        <item x="76"/>
        <item x="42"/>
        <item x="249"/>
        <item x="205"/>
        <item x="165"/>
        <item x="220"/>
        <item x="186"/>
        <item x="192"/>
        <item x="178"/>
        <item x="281"/>
        <item x="23"/>
        <item x="102"/>
        <item x="285"/>
        <item x="177"/>
        <item x="88"/>
        <item x="219"/>
        <item x="127"/>
        <item x="63"/>
        <item x="139"/>
        <item x="117"/>
        <item x="138"/>
        <item x="306"/>
        <item x="137"/>
        <item x="248"/>
        <item x="295"/>
        <item x="185"/>
        <item x="146"/>
        <item x="241"/>
        <item x="87"/>
        <item x="299"/>
        <item x="154"/>
        <item x="309"/>
        <item x="176"/>
        <item x="2"/>
        <item x="62"/>
        <item x="252"/>
        <item x="41"/>
        <item x="240"/>
        <item x="75"/>
        <item x="184"/>
        <item x="61"/>
        <item x="22"/>
        <item x="191"/>
        <item x="175"/>
        <item x="319"/>
        <item x="269"/>
        <item x="228"/>
        <item x="263"/>
        <item x="1"/>
        <item x="145"/>
        <item x="153"/>
        <item x="201"/>
        <item x="212"/>
        <item x="325"/>
        <item x="239"/>
        <item x="204"/>
        <item x="21"/>
        <item x="116"/>
        <item x="183"/>
        <item x="298"/>
        <item x="227"/>
        <item x="60"/>
        <item x="136"/>
        <item x="40"/>
        <item x="200"/>
        <item x="20"/>
        <item x="302"/>
        <item x="164"/>
        <item x="174"/>
        <item x="311"/>
        <item x="115"/>
        <item x="278"/>
        <item x="280"/>
        <item x="318"/>
        <item x="256"/>
        <item x="260"/>
        <item x="279"/>
        <item x="190"/>
        <item x="19"/>
        <item x="247"/>
        <item x="199"/>
        <item x="268"/>
        <item x="288"/>
        <item x="255"/>
        <item x="226"/>
        <item x="39"/>
        <item x="198"/>
        <item x="59"/>
        <item x="163"/>
        <item x="162"/>
        <item x="101"/>
        <item x="218"/>
        <item x="322"/>
        <item x="234"/>
        <item x="274"/>
        <item x="297"/>
        <item x="217"/>
        <item x="314"/>
        <item x="74"/>
        <item x="324"/>
        <item x="100"/>
        <item x="197"/>
        <item x="277"/>
        <item x="18"/>
        <item x="304"/>
        <item x="251"/>
        <item x="114"/>
        <item x="294"/>
        <item x="246"/>
        <item x="275"/>
        <item x="73"/>
        <item x="267"/>
        <item x="99"/>
        <item x="189"/>
        <item x="273"/>
        <item x="58"/>
        <item x="301"/>
        <item x="0"/>
        <item x="231"/>
        <item x="126"/>
        <item x="161"/>
        <item x="196"/>
        <item x="135"/>
        <item x="72"/>
        <item x="290"/>
        <item x="308"/>
        <item x="152"/>
        <item x="262"/>
        <item x="57"/>
        <item x="317"/>
        <item x="238"/>
        <item x="250"/>
        <item x="86"/>
        <item x="85"/>
        <item x="38"/>
        <item x="323"/>
        <item x="237"/>
        <item x="211"/>
        <item x="233"/>
        <item x="203"/>
        <item x="195"/>
        <item x="125"/>
        <item x="272"/>
        <item x="230"/>
        <item x="315"/>
        <item x="293"/>
        <item x="313"/>
        <item x="182"/>
        <item x="173"/>
        <item x="113"/>
        <item x="225"/>
        <item x="276"/>
        <item x="210"/>
        <item x="316"/>
        <item x="245"/>
        <item x="254"/>
        <item x="310"/>
        <item x="303"/>
        <item x="312"/>
        <item x="259"/>
        <item x="305"/>
        <item x="296"/>
        <item x="134"/>
        <item x="321"/>
        <item x="284"/>
      </items>
    </pivotField>
    <pivotField dataField="1" showAll="0" defaultSubtotal="0">
      <items count="215">
        <item x="211"/>
        <item x="150"/>
        <item x="48"/>
        <item x="72"/>
        <item x="187"/>
        <item x="116"/>
        <item x="133"/>
        <item x="195"/>
        <item x="54"/>
        <item x="118"/>
        <item x="74"/>
        <item x="91"/>
        <item x="89"/>
        <item x="56"/>
        <item x="151"/>
        <item x="107"/>
        <item x="114"/>
        <item x="93"/>
        <item x="90"/>
        <item x="50"/>
        <item x="132"/>
        <item x="108"/>
        <item x="94"/>
        <item x="179"/>
        <item x="76"/>
        <item x="120"/>
        <item x="117"/>
        <item x="73"/>
        <item x="57"/>
        <item x="146"/>
        <item x="119"/>
        <item x="75"/>
        <item x="113"/>
        <item x="115"/>
        <item x="71"/>
        <item x="53"/>
        <item x="55"/>
        <item x="145"/>
        <item x="134"/>
        <item x="92"/>
        <item x="127"/>
        <item x="43"/>
        <item x="126"/>
        <item x="110"/>
        <item x="51"/>
        <item x="201"/>
        <item x="166"/>
        <item x="34"/>
        <item x="106"/>
        <item x="59"/>
        <item x="196"/>
        <item x="104"/>
        <item x="58"/>
        <item x="105"/>
        <item x="100"/>
        <item x="102"/>
        <item x="111"/>
        <item x="112"/>
        <item x="88"/>
        <item x="199"/>
        <item x="87"/>
        <item x="69"/>
        <item x="101"/>
        <item x="212"/>
        <item x="200"/>
        <item x="52"/>
        <item x="125"/>
        <item x="103"/>
        <item x="68"/>
        <item x="86"/>
        <item x="131"/>
        <item x="149"/>
        <item x="205"/>
        <item x="123"/>
        <item x="167"/>
        <item x="130"/>
        <item x="70"/>
        <item x="99"/>
        <item x="46"/>
        <item x="65"/>
        <item x="85"/>
        <item x="214"/>
        <item x="198"/>
        <item x="49"/>
        <item x="180"/>
        <item x="61"/>
        <item x="194"/>
        <item x="82"/>
        <item x="204"/>
        <item x="47"/>
        <item x="159"/>
        <item x="67"/>
        <item x="64"/>
        <item x="66"/>
        <item x="84"/>
        <item x="36"/>
        <item x="147"/>
        <item x="109"/>
        <item x="148"/>
        <item x="178"/>
        <item x="45"/>
        <item x="124"/>
        <item x="185"/>
        <item x="83"/>
        <item x="44"/>
        <item x="42"/>
        <item x="98"/>
        <item x="63"/>
        <item x="122"/>
        <item x="97"/>
        <item x="62"/>
        <item x="129"/>
        <item x="81"/>
        <item x="78"/>
        <item x="203"/>
        <item x="32"/>
        <item x="80"/>
        <item x="202"/>
        <item x="183"/>
        <item x="186"/>
        <item x="209"/>
        <item x="128"/>
        <item x="210"/>
        <item x="208"/>
        <item x="207"/>
        <item x="176"/>
        <item x="165"/>
        <item x="138"/>
        <item x="184"/>
        <item x="60"/>
        <item x="139"/>
        <item x="182"/>
        <item x="40"/>
        <item x="144"/>
        <item x="197"/>
        <item x="191"/>
        <item x="164"/>
        <item x="121"/>
        <item x="193"/>
        <item x="163"/>
        <item x="177"/>
        <item x="41"/>
        <item x="79"/>
        <item x="95"/>
        <item x="206"/>
        <item x="96"/>
        <item x="170"/>
        <item x="141"/>
        <item x="213"/>
        <item x="143"/>
        <item x="77"/>
        <item x="192"/>
        <item x="174"/>
        <item x="38"/>
        <item x="175"/>
        <item x="190"/>
        <item x="162"/>
        <item x="142"/>
        <item x="172"/>
        <item x="39"/>
        <item x="173"/>
        <item x="161"/>
        <item x="181"/>
        <item x="160"/>
        <item x="189"/>
        <item x="140"/>
        <item x="158"/>
        <item x="37"/>
        <item x="156"/>
        <item x="33"/>
        <item x="137"/>
        <item x="154"/>
        <item x="157"/>
        <item x="171"/>
        <item x="29"/>
        <item x="17"/>
        <item x="15"/>
        <item x="169"/>
        <item x="188"/>
        <item x="155"/>
        <item x="31"/>
        <item x="168"/>
        <item x="136"/>
        <item x="153"/>
        <item x="35"/>
        <item x="152"/>
        <item x="10"/>
        <item x="30"/>
        <item x="26"/>
        <item x="22"/>
        <item x="18"/>
        <item x="19"/>
        <item x="27"/>
        <item x="28"/>
        <item x="14"/>
        <item x="25"/>
        <item x="24"/>
        <item x="11"/>
        <item x="135"/>
        <item x="23"/>
        <item x="13"/>
        <item x="16"/>
        <item x="21"/>
        <item x="12"/>
        <item x="20"/>
        <item x="1"/>
        <item x="4"/>
        <item x="9"/>
        <item x="5"/>
        <item x="7"/>
        <item x="8"/>
        <item x="6"/>
        <item x="3"/>
        <item x="2"/>
        <item x="0"/>
      </items>
    </pivotField>
    <pivotField dataField="1" showAll="0" defaultSubtotal="0">
      <items count="480">
        <item x="388"/>
        <item x="179"/>
        <item x="45"/>
        <item x="254"/>
        <item x="226"/>
        <item x="367"/>
        <item x="72"/>
        <item x="317"/>
        <item x="150"/>
        <item x="352"/>
        <item x="32"/>
        <item x="241"/>
        <item x="449"/>
        <item x="235"/>
        <item x="165"/>
        <item x="456"/>
        <item x="361"/>
        <item x="210"/>
        <item x="325"/>
        <item x="119"/>
        <item x="213"/>
        <item x="259"/>
        <item x="91"/>
        <item x="51"/>
        <item x="328"/>
        <item x="89"/>
        <item x="306"/>
        <item x="34"/>
        <item x="214"/>
        <item x="164"/>
        <item x="16"/>
        <item x="14"/>
        <item x="267"/>
        <item x="196"/>
        <item x="444"/>
        <item x="177"/>
        <item x="350"/>
        <item x="107"/>
        <item x="31"/>
        <item x="93"/>
        <item x="161"/>
        <item x="250"/>
        <item x="90"/>
        <item x="68"/>
        <item x="401"/>
        <item x="53"/>
        <item x="211"/>
        <item x="173"/>
        <item x="279"/>
        <item x="342"/>
        <item x="369"/>
        <item x="38"/>
        <item x="147"/>
        <item x="94"/>
        <item x="108"/>
        <item x="298"/>
        <item x="9"/>
        <item x="323"/>
        <item x="197"/>
        <item x="432"/>
        <item x="149"/>
        <item x="195"/>
        <item x="178"/>
        <item x="327"/>
        <item x="124"/>
        <item x="17"/>
        <item x="18"/>
        <item x="384"/>
        <item x="162"/>
        <item x="181"/>
        <item x="47"/>
        <item x="354"/>
        <item x="407"/>
        <item x="297"/>
        <item x="182"/>
        <item x="198"/>
        <item x="189"/>
        <item x="277"/>
        <item x="36"/>
        <item x="240"/>
        <item x="148"/>
        <item x="455"/>
        <item x="176"/>
        <item x="421"/>
        <item x="117"/>
        <item x="258"/>
        <item x="223"/>
        <item x="416"/>
        <item x="387"/>
        <item x="183"/>
        <item x="288"/>
        <item x="75"/>
        <item x="451"/>
        <item x="37"/>
        <item x="272"/>
        <item x="249"/>
        <item x="166"/>
        <item x="120"/>
        <item x="422"/>
        <item x="405"/>
        <item x="13"/>
        <item x="363"/>
        <item x="193"/>
        <item x="324"/>
        <item x="73"/>
        <item x="356"/>
        <item x="144"/>
        <item x="216"/>
        <item x="477"/>
        <item x="92"/>
        <item x="104"/>
        <item x="276"/>
        <item x="54"/>
        <item x="425"/>
        <item x="366"/>
        <item x="35"/>
        <item x="305"/>
        <item x="336"/>
        <item x="10"/>
        <item x="393"/>
        <item x="74"/>
        <item x="313"/>
        <item x="406"/>
        <item x="439"/>
        <item x="12"/>
        <item x="15"/>
        <item x="304"/>
        <item x="212"/>
        <item x="146"/>
        <item x="417"/>
        <item x="215"/>
        <item x="394"/>
        <item x="137"/>
        <item x="70"/>
        <item x="125"/>
        <item x="239"/>
        <item x="335"/>
        <item x="395"/>
        <item x="28"/>
        <item x="312"/>
        <item x="123"/>
        <item x="278"/>
        <item x="50"/>
        <item x="326"/>
        <item x="192"/>
        <item x="121"/>
        <item x="52"/>
        <item x="11"/>
        <item x="392"/>
        <item x="337"/>
        <item x="163"/>
        <item x="459"/>
        <item x="374"/>
        <item x="411"/>
        <item x="237"/>
        <item x="134"/>
        <item x="225"/>
        <item x="333"/>
        <item x="105"/>
        <item x="345"/>
        <item x="194"/>
        <item x="30"/>
        <item x="378"/>
        <item x="224"/>
        <item x="368"/>
        <item x="332"/>
        <item x="106"/>
        <item x="88"/>
        <item x="359"/>
        <item x="423"/>
        <item x="40"/>
        <item x="400"/>
        <item x="122"/>
        <item x="87"/>
        <item x="247"/>
        <item x="311"/>
        <item x="135"/>
        <item x="440"/>
        <item x="140"/>
        <item x="69"/>
        <item x="453"/>
        <item x="307"/>
        <item x="285"/>
        <item x="248"/>
        <item x="48"/>
        <item x="102"/>
        <item x="116"/>
        <item x="175"/>
        <item x="322"/>
        <item x="476"/>
        <item x="208"/>
        <item x="118"/>
        <item x="287"/>
        <item x="303"/>
        <item x="375"/>
        <item x="33"/>
        <item x="152"/>
        <item x="410"/>
        <item x="100"/>
        <item x="321"/>
        <item x="71"/>
        <item x="143"/>
        <item x="86"/>
        <item x="355"/>
        <item x="383"/>
        <item x="385"/>
        <item x="56"/>
        <item x="373"/>
        <item x="155"/>
        <item x="133"/>
        <item x="295"/>
        <item x="419"/>
        <item x="391"/>
        <item x="151"/>
        <item x="246"/>
        <item x="103"/>
        <item x="382"/>
        <item x="286"/>
        <item x="160"/>
        <item x="136"/>
        <item x="55"/>
        <item x="386"/>
        <item x="353"/>
        <item x="435"/>
        <item x="344"/>
        <item x="424"/>
        <item x="334"/>
        <item x="180"/>
        <item x="343"/>
        <item x="413"/>
        <item x="471"/>
        <item x="209"/>
        <item x="274"/>
        <item x="85"/>
        <item x="145"/>
        <item x="404"/>
        <item x="448"/>
        <item x="475"/>
        <item x="463"/>
        <item x="207"/>
        <item x="101"/>
        <item x="174"/>
        <item x="97"/>
        <item x="275"/>
        <item x="438"/>
        <item x="66"/>
        <item x="111"/>
        <item x="431"/>
        <item x="390"/>
        <item x="473"/>
        <item x="284"/>
        <item x="81"/>
        <item x="201"/>
        <item x="351"/>
        <item x="415"/>
        <item x="191"/>
        <item x="296"/>
        <item x="190"/>
        <item x="1"/>
        <item x="29"/>
        <item x="380"/>
        <item x="25"/>
        <item x="21"/>
        <item x="310"/>
        <item x="132"/>
        <item x="341"/>
        <item x="84"/>
        <item x="4"/>
        <item x="243"/>
        <item x="49"/>
        <item x="5"/>
        <item x="26"/>
        <item x="469"/>
        <item x="65"/>
        <item x="83"/>
        <item x="221"/>
        <item x="409"/>
        <item x="159"/>
        <item x="403"/>
        <item x="114"/>
        <item x="264"/>
        <item x="362"/>
        <item x="98"/>
        <item x="458"/>
        <item x="282"/>
        <item x="27"/>
        <item x="273"/>
        <item x="7"/>
        <item x="206"/>
        <item x="238"/>
        <item x="348"/>
        <item x="99"/>
        <item x="414"/>
        <item x="365"/>
        <item x="437"/>
        <item x="8"/>
        <item x="381"/>
        <item x="347"/>
        <item x="468"/>
        <item x="430"/>
        <item x="232"/>
        <item x="294"/>
        <item x="82"/>
        <item x="349"/>
        <item x="266"/>
        <item x="67"/>
        <item x="379"/>
        <item x="169"/>
        <item x="158"/>
        <item x="244"/>
        <item x="236"/>
        <item x="170"/>
        <item x="283"/>
        <item x="6"/>
        <item x="271"/>
        <item x="62"/>
        <item x="128"/>
        <item x="113"/>
        <item x="301"/>
        <item x="340"/>
        <item x="43"/>
        <item x="222"/>
        <item x="466"/>
        <item x="115"/>
        <item x="434"/>
        <item x="186"/>
        <item x="442"/>
        <item x="364"/>
        <item x="188"/>
        <item x="157"/>
        <item x="447"/>
        <item x="245"/>
        <item x="372"/>
        <item x="171"/>
        <item x="399"/>
        <item x="420"/>
        <item x="265"/>
        <item x="131"/>
        <item x="58"/>
        <item x="46"/>
        <item x="80"/>
        <item x="429"/>
        <item x="257"/>
        <item x="398"/>
        <item x="203"/>
        <item x="231"/>
        <item x="443"/>
        <item x="205"/>
        <item x="315"/>
        <item x="465"/>
        <item x="77"/>
        <item x="204"/>
        <item x="454"/>
        <item x="320"/>
        <item x="302"/>
        <item x="3"/>
        <item x="396"/>
        <item x="293"/>
        <item x="318"/>
        <item x="172"/>
        <item x="64"/>
        <item x="292"/>
        <item x="79"/>
        <item x="112"/>
        <item x="44"/>
        <item x="61"/>
        <item x="291"/>
        <item x="63"/>
        <item x="256"/>
        <item x="467"/>
        <item x="262"/>
        <item x="234"/>
        <item x="371"/>
        <item x="142"/>
        <item x="24"/>
        <item x="457"/>
        <item x="270"/>
        <item x="156"/>
        <item x="187"/>
        <item x="263"/>
        <item x="339"/>
        <item x="370"/>
        <item x="2"/>
        <item x="280"/>
        <item x="220"/>
        <item x="23"/>
        <item x="233"/>
        <item x="377"/>
        <item x="470"/>
        <item x="219"/>
        <item x="474"/>
        <item x="141"/>
        <item x="331"/>
        <item x="462"/>
        <item x="42"/>
        <item x="358"/>
        <item x="130"/>
        <item x="281"/>
        <item x="309"/>
        <item x="450"/>
        <item x="319"/>
        <item x="230"/>
        <item x="308"/>
        <item x="185"/>
        <item x="41"/>
        <item x="253"/>
        <item x="129"/>
        <item x="397"/>
        <item x="60"/>
        <item x="22"/>
        <item x="218"/>
        <item x="59"/>
        <item x="316"/>
        <item x="479"/>
        <item x="202"/>
        <item x="428"/>
        <item x="261"/>
        <item x="228"/>
        <item x="290"/>
        <item x="20"/>
        <item x="464"/>
        <item x="242"/>
        <item x="418"/>
        <item x="127"/>
        <item x="376"/>
        <item x="389"/>
        <item x="446"/>
        <item x="426"/>
        <item x="255"/>
        <item x="229"/>
        <item x="167"/>
        <item x="478"/>
        <item x="200"/>
        <item x="78"/>
        <item x="441"/>
        <item x="427"/>
        <item x="338"/>
        <item x="330"/>
        <item x="408"/>
        <item x="436"/>
        <item x="109"/>
        <item x="433"/>
        <item x="168"/>
        <item x="110"/>
        <item x="0"/>
        <item x="300"/>
        <item x="95"/>
        <item x="199"/>
        <item x="329"/>
        <item x="96"/>
        <item x="184"/>
        <item x="154"/>
        <item x="452"/>
        <item x="76"/>
        <item x="19"/>
        <item x="57"/>
        <item x="252"/>
        <item x="269"/>
        <item x="139"/>
        <item x="461"/>
        <item x="268"/>
        <item x="299"/>
        <item x="357"/>
        <item x="360"/>
        <item x="217"/>
        <item x="314"/>
        <item x="39"/>
        <item x="402"/>
        <item x="227"/>
        <item x="289"/>
        <item x="460"/>
        <item x="126"/>
        <item x="138"/>
        <item x="260"/>
        <item x="445"/>
        <item x="346"/>
        <item x="251"/>
        <item x="472"/>
        <item x="412"/>
        <item x="153"/>
      </items>
    </pivotField>
    <pivotField dataField="1" showAll="0" defaultSubtotal="0">
      <items count="136">
        <item x="61"/>
        <item x="55"/>
        <item x="65"/>
        <item x="56"/>
        <item x="74"/>
        <item x="59"/>
        <item x="60"/>
        <item x="85"/>
        <item x="83"/>
        <item x="75"/>
        <item x="79"/>
        <item x="72"/>
        <item x="50"/>
        <item x="44"/>
        <item x="71"/>
        <item x="45"/>
        <item x="47"/>
        <item x="58"/>
        <item x="69"/>
        <item x="64"/>
        <item x="67"/>
        <item x="103"/>
        <item x="62"/>
        <item x="81"/>
        <item x="43"/>
        <item x="105"/>
        <item x="53"/>
        <item x="20"/>
        <item x="73"/>
        <item x="34"/>
        <item x="51"/>
        <item x="82"/>
        <item x="80"/>
        <item x="49"/>
        <item x="87"/>
        <item x="78"/>
        <item x="68"/>
        <item x="40"/>
        <item x="86"/>
        <item x="76"/>
        <item x="134"/>
        <item x="104"/>
        <item x="124"/>
        <item x="54"/>
        <item x="110"/>
        <item x="77"/>
        <item x="116"/>
        <item x="66"/>
        <item x="41"/>
        <item x="102"/>
        <item x="93"/>
        <item x="95"/>
        <item x="90"/>
        <item x="133"/>
        <item x="84"/>
        <item x="52"/>
        <item x="101"/>
        <item x="3"/>
        <item x="48"/>
        <item x="88"/>
        <item x="117"/>
        <item x="125"/>
        <item x="63"/>
        <item x="123"/>
        <item x="132"/>
        <item x="57"/>
        <item x="130"/>
        <item x="118"/>
        <item x="131"/>
        <item x="70"/>
        <item x="128"/>
        <item x="127"/>
        <item x="109"/>
        <item x="114"/>
        <item x="135"/>
        <item x="129"/>
        <item x="25"/>
        <item x="89"/>
        <item x="46"/>
        <item x="42"/>
        <item x="107"/>
        <item x="106"/>
        <item x="122"/>
        <item x="23"/>
        <item x="113"/>
        <item x="120"/>
        <item x="121"/>
        <item x="28"/>
        <item x="96"/>
        <item x="99"/>
        <item x="111"/>
        <item x="100"/>
        <item x="119"/>
        <item x="36"/>
        <item x="94"/>
        <item x="98"/>
        <item x="112"/>
        <item x="6"/>
        <item x="97"/>
        <item x="38"/>
        <item x="21"/>
        <item x="24"/>
        <item x="8"/>
        <item x="92"/>
        <item x="91"/>
        <item x="27"/>
        <item x="126"/>
        <item x="115"/>
        <item x="37"/>
        <item x="32"/>
        <item x="2"/>
        <item x="108"/>
        <item x="30"/>
        <item x="39"/>
        <item x="9"/>
        <item x="26"/>
        <item x="29"/>
        <item x="16"/>
        <item x="7"/>
        <item x="35"/>
        <item x="31"/>
        <item x="33"/>
        <item x="0"/>
        <item x="5"/>
        <item x="12"/>
        <item x="22"/>
        <item x="13"/>
        <item x="14"/>
        <item x="19"/>
        <item x="18"/>
        <item x="4"/>
        <item x="11"/>
        <item x="17"/>
        <item x="15"/>
        <item x="10"/>
        <item x="1"/>
      </items>
    </pivotField>
    <pivotField dataField="1" showAll="0" defaultSubtotal="0">
      <items count="363">
        <item x="62"/>
        <item x="55"/>
        <item x="132"/>
        <item x="139"/>
        <item x="159"/>
        <item x="3"/>
        <item x="56"/>
        <item x="68"/>
        <item x="20"/>
        <item x="34"/>
        <item x="162"/>
        <item x="78"/>
        <item x="288"/>
        <item x="204"/>
        <item x="239"/>
        <item x="64"/>
        <item x="91"/>
        <item x="79"/>
        <item x="246"/>
        <item x="241"/>
        <item x="283"/>
        <item x="103"/>
        <item x="267"/>
        <item x="6"/>
        <item x="93"/>
        <item x="238"/>
        <item x="151"/>
        <item x="29"/>
        <item x="229"/>
        <item x="8"/>
        <item x="104"/>
        <item x="90"/>
        <item x="181"/>
        <item x="205"/>
        <item x="133"/>
        <item x="260"/>
        <item x="61"/>
        <item x="127"/>
        <item x="314"/>
        <item x="112"/>
        <item x="236"/>
        <item x="2"/>
        <item x="147"/>
        <item x="194"/>
        <item x="164"/>
        <item x="126"/>
        <item x="196"/>
        <item x="80"/>
        <item x="9"/>
        <item x="51"/>
        <item x="293"/>
        <item x="232"/>
        <item x="183"/>
        <item x="125"/>
        <item x="44"/>
        <item x="99"/>
        <item x="184"/>
        <item x="117"/>
        <item x="23"/>
        <item x="76"/>
        <item x="178"/>
        <item x="187"/>
        <item x="46"/>
        <item x="27"/>
        <item x="153"/>
        <item x="82"/>
        <item x="16"/>
        <item x="48"/>
        <item x="7"/>
        <item x="89"/>
        <item x="300"/>
        <item x="145"/>
        <item x="115"/>
        <item x="123"/>
        <item x="36"/>
        <item x="74"/>
        <item x="336"/>
        <item x="296"/>
        <item x="192"/>
        <item x="269"/>
        <item x="235"/>
        <item x="86"/>
        <item x="333"/>
        <item x="278"/>
        <item x="275"/>
        <item x="167"/>
        <item x="66"/>
        <item x="38"/>
        <item x="121"/>
        <item x="134"/>
        <item x="149"/>
        <item x="217"/>
        <item x="98"/>
        <item x="81"/>
        <item x="110"/>
        <item x="21"/>
        <item x="0"/>
        <item x="24"/>
        <item x="286"/>
        <item x="179"/>
        <item x="57"/>
        <item x="43"/>
        <item x="26"/>
        <item x="228"/>
        <item x="154"/>
        <item x="96"/>
        <item x="5"/>
        <item x="358"/>
        <item x="207"/>
        <item x="12"/>
        <item x="53"/>
        <item x="180"/>
        <item x="171"/>
        <item x="59"/>
        <item x="45"/>
        <item x="266"/>
        <item x="334"/>
        <item x="144"/>
        <item x="119"/>
        <item x="37"/>
        <item x="72"/>
        <item x="75"/>
        <item x="32"/>
        <item x="253"/>
        <item x="282"/>
        <item x="289"/>
        <item x="317"/>
        <item x="158"/>
        <item x="67"/>
        <item x="13"/>
        <item x="200"/>
        <item x="173"/>
        <item x="295"/>
        <item x="165"/>
        <item x="227"/>
        <item x="70"/>
        <item x="170"/>
        <item x="30"/>
        <item x="122"/>
        <item x="273"/>
        <item x="50"/>
        <item x="116"/>
        <item x="291"/>
        <item x="237"/>
        <item x="101"/>
        <item x="39"/>
        <item x="63"/>
        <item x="242"/>
        <item x="197"/>
        <item x="174"/>
        <item x="14"/>
        <item x="223"/>
        <item x="252"/>
        <item x="77"/>
        <item x="19"/>
        <item x="92"/>
        <item x="18"/>
        <item x="40"/>
        <item x="190"/>
        <item x="88"/>
        <item x="245"/>
        <item x="4"/>
        <item x="107"/>
        <item x="95"/>
        <item x="128"/>
        <item x="257"/>
        <item x="155"/>
        <item x="240"/>
        <item x="25"/>
        <item x="109"/>
        <item x="161"/>
        <item x="284"/>
        <item x="310"/>
        <item x="11"/>
        <item x="157"/>
        <item x="160"/>
        <item x="113"/>
        <item x="264"/>
        <item x="199"/>
        <item x="60"/>
        <item x="54"/>
        <item x="130"/>
        <item x="169"/>
        <item x="202"/>
        <item x="316"/>
        <item x="188"/>
        <item x="220"/>
        <item x="280"/>
        <item x="87"/>
        <item x="337"/>
        <item x="290"/>
        <item x="105"/>
        <item x="28"/>
        <item x="224"/>
        <item x="321"/>
        <item x="219"/>
        <item x="182"/>
        <item x="193"/>
        <item x="41"/>
        <item x="341"/>
        <item x="156"/>
        <item x="118"/>
        <item x="318"/>
        <item x="215"/>
        <item x="231"/>
        <item x="100"/>
        <item x="84"/>
        <item x="35"/>
        <item x="166"/>
        <item x="17"/>
        <item x="263"/>
        <item x="214"/>
        <item x="138"/>
        <item x="97"/>
        <item x="250"/>
        <item x="15"/>
        <item x="203"/>
        <item x="331"/>
        <item x="142"/>
        <item x="198"/>
        <item x="148"/>
        <item x="94"/>
        <item x="143"/>
        <item x="210"/>
        <item x="111"/>
        <item x="272"/>
        <item x="226"/>
        <item x="177"/>
        <item x="305"/>
        <item x="150"/>
        <item x="185"/>
        <item x="52"/>
        <item x="308"/>
        <item x="71"/>
        <item x="234"/>
        <item x="301"/>
        <item x="176"/>
        <item x="168"/>
        <item x="129"/>
        <item x="137"/>
        <item x="85"/>
        <item x="31"/>
        <item x="141"/>
        <item x="49"/>
        <item x="152"/>
        <item x="270"/>
        <item x="343"/>
        <item x="265"/>
        <item x="258"/>
        <item x="83"/>
        <item x="131"/>
        <item x="33"/>
        <item x="354"/>
        <item x="140"/>
        <item x="268"/>
        <item x="186"/>
        <item x="285"/>
        <item x="311"/>
        <item x="230"/>
        <item x="189"/>
        <item x="304"/>
        <item x="248"/>
        <item x="346"/>
        <item x="276"/>
        <item x="222"/>
        <item x="146"/>
        <item x="320"/>
        <item x="120"/>
        <item x="108"/>
        <item x="315"/>
        <item x="350"/>
        <item x="175"/>
        <item x="243"/>
        <item x="10"/>
        <item x="332"/>
        <item x="325"/>
        <item x="69"/>
        <item x="206"/>
        <item x="1"/>
        <item x="136"/>
        <item x="299"/>
        <item x="106"/>
        <item x="352"/>
        <item x="221"/>
        <item x="349"/>
        <item x="135"/>
        <item x="322"/>
        <item x="277"/>
        <item x="247"/>
        <item x="307"/>
        <item x="338"/>
        <item x="356"/>
        <item x="297"/>
        <item x="294"/>
        <item x="348"/>
        <item x="213"/>
        <item x="22"/>
        <item x="345"/>
        <item x="251"/>
        <item x="271"/>
        <item x="274"/>
        <item x="218"/>
        <item x="330"/>
        <item x="302"/>
        <item x="353"/>
        <item x="124"/>
        <item x="216"/>
        <item x="163"/>
        <item x="209"/>
        <item x="340"/>
        <item x="73"/>
        <item x="233"/>
        <item x="65"/>
        <item x="319"/>
        <item x="279"/>
        <item x="47"/>
        <item x="256"/>
        <item x="261"/>
        <item x="114"/>
        <item x="201"/>
        <item x="328"/>
        <item x="42"/>
        <item x="259"/>
        <item x="58"/>
        <item x="195"/>
        <item x="287"/>
        <item x="172"/>
        <item x="362"/>
        <item x="102"/>
        <item x="262"/>
        <item x="347"/>
        <item x="212"/>
        <item x="225"/>
        <item x="244"/>
        <item x="191"/>
        <item x="281"/>
        <item x="254"/>
        <item x="342"/>
        <item x="327"/>
        <item x="303"/>
        <item x="255"/>
        <item x="360"/>
        <item x="211"/>
        <item x="292"/>
        <item x="359"/>
        <item x="329"/>
        <item x="335"/>
        <item x="249"/>
        <item x="323"/>
        <item x="208"/>
        <item x="306"/>
        <item x="324"/>
        <item x="298"/>
        <item x="313"/>
        <item x="312"/>
        <item x="309"/>
        <item x="326"/>
        <item x="344"/>
        <item x="339"/>
        <item x="351"/>
        <item x="355"/>
        <item x="361"/>
        <item x="357"/>
      </items>
    </pivotField>
    <pivotField dataField="1" showAll="0" defaultSubtotal="0">
      <items count="10">
        <item x="0"/>
        <item x="5"/>
        <item x="1"/>
        <item x="3"/>
        <item x="9"/>
        <item x="2"/>
        <item x="8"/>
        <item x="6"/>
        <item x="7"/>
        <item x="4"/>
      </items>
    </pivotField>
    <pivotField showAll="0" defaultSubtotal="0">
      <items count="29">
        <item x="0"/>
        <item x="5"/>
        <item x="1"/>
        <item x="3"/>
        <item x="7"/>
        <item x="2"/>
        <item x="6"/>
        <item x="15"/>
        <item x="18"/>
        <item x="24"/>
        <item x="4"/>
        <item x="11"/>
        <item x="21"/>
        <item x="19"/>
        <item x="9"/>
        <item x="20"/>
        <item x="17"/>
        <item x="8"/>
        <item x="16"/>
        <item x="22"/>
        <item x="13"/>
        <item x="10"/>
        <item x="27"/>
        <item x="12"/>
        <item x="14"/>
        <item x="23"/>
        <item x="25"/>
        <item x="28"/>
        <item x="26"/>
      </items>
    </pivotField>
  </pivotFields>
  <rowFields count="3">
    <field x="5"/>
    <field x="10"/>
    <field x="9"/>
  </rowFields>
  <rowItems count="1155">
    <i>
      <x/>
    </i>
    <i r="1">
      <x/>
      <x v="78"/>
    </i>
    <i r="1">
      <x v="1"/>
      <x v="61"/>
    </i>
    <i r="1">
      <x v="2"/>
      <x v="74"/>
    </i>
    <i r="1">
      <x v="3"/>
      <x v="73"/>
    </i>
    <i r="1">
      <x v="4"/>
      <x v="56"/>
    </i>
    <i r="1">
      <x v="5"/>
      <x v="83"/>
    </i>
    <i r="1">
      <x v="6"/>
      <x v="77"/>
    </i>
    <i r="1">
      <x v="7"/>
      <x v="71"/>
    </i>
    <i r="1">
      <x v="8"/>
      <x v="72"/>
    </i>
    <i r="1">
      <x v="9"/>
      <x v="85"/>
    </i>
    <i r="1">
      <x v="10"/>
      <x/>
    </i>
    <i r="1">
      <x v="11"/>
      <x v="44"/>
    </i>
    <i r="1">
      <x v="12"/>
      <x v="49"/>
    </i>
    <i r="1">
      <x v="13"/>
      <x v="50"/>
    </i>
    <i r="1">
      <x v="14"/>
      <x v="76"/>
    </i>
    <i r="1">
      <x v="15"/>
      <x v="59"/>
    </i>
    <i r="1">
      <x v="16"/>
      <x v="82"/>
    </i>
    <i r="1">
      <x v="17"/>
      <x v="1"/>
    </i>
    <i r="1">
      <x v="18"/>
      <x v="54"/>
    </i>
    <i r="1">
      <x v="19"/>
      <x v="8"/>
    </i>
    <i t="blank">
      <x/>
    </i>
    <i>
      <x v="1"/>
    </i>
    <i r="1">
      <x/>
      <x v="73"/>
    </i>
    <i r="1">
      <x v="1"/>
      <x v="78"/>
    </i>
    <i r="1">
      <x v="2"/>
      <x v="61"/>
    </i>
    <i r="1">
      <x v="3"/>
      <x v="74"/>
    </i>
    <i r="1">
      <x v="4"/>
      <x v="71"/>
    </i>
    <i r="1">
      <x v="5"/>
      <x v="72"/>
    </i>
    <i r="1">
      <x v="6"/>
      <x v="56"/>
    </i>
    <i r="1">
      <x v="7"/>
      <x v="83"/>
    </i>
    <i r="1">
      <x v="8"/>
      <x v="85"/>
    </i>
    <i r="1">
      <x v="9"/>
      <x v="44"/>
    </i>
    <i r="1">
      <x v="10"/>
      <x v="77"/>
    </i>
    <i r="1">
      <x v="11"/>
      <x v="49"/>
    </i>
    <i r="1">
      <x v="12"/>
      <x v="59"/>
    </i>
    <i r="1">
      <x v="13"/>
      <x v="76"/>
    </i>
    <i r="1">
      <x v="14"/>
      <x v="63"/>
    </i>
    <i r="1">
      <x v="15"/>
      <x v="75"/>
    </i>
    <i r="1">
      <x v="16"/>
      <x v="60"/>
    </i>
    <i r="1">
      <x v="17"/>
      <x v="62"/>
    </i>
    <i r="1">
      <x v="18"/>
      <x v="45"/>
    </i>
    <i r="1">
      <x v="19"/>
      <x v="48"/>
    </i>
    <i r="2">
      <x v="68"/>
    </i>
    <i t="blank">
      <x v="1"/>
    </i>
    <i>
      <x v="2"/>
    </i>
    <i r="1">
      <x/>
      <x v="78"/>
    </i>
    <i r="1">
      <x v="1"/>
      <x v="83"/>
    </i>
    <i r="1">
      <x v="2"/>
      <x v="61"/>
    </i>
    <i r="1">
      <x v="3"/>
      <x v="85"/>
    </i>
    <i r="1">
      <x v="4"/>
      <x v="72"/>
    </i>
    <i r="1">
      <x v="5"/>
      <x v="56"/>
    </i>
    <i r="1">
      <x v="6"/>
      <x v="74"/>
    </i>
    <i r="1">
      <x v="7"/>
      <x v="63"/>
    </i>
    <i r="1">
      <x v="8"/>
      <x v="71"/>
    </i>
    <i r="1">
      <x v="9"/>
      <x v="76"/>
    </i>
    <i r="1">
      <x v="10"/>
      <x v="59"/>
    </i>
    <i r="1">
      <x v="11"/>
      <x v="44"/>
    </i>
    <i r="2">
      <x v="77"/>
    </i>
    <i r="1">
      <x v="13"/>
      <x v="82"/>
    </i>
    <i r="1">
      <x v="14"/>
      <x v="1"/>
    </i>
    <i r="1">
      <x v="15"/>
      <x v="48"/>
    </i>
    <i r="1">
      <x v="16"/>
      <x v="60"/>
    </i>
    <i r="1">
      <x v="17"/>
      <x v="49"/>
    </i>
    <i r="1">
      <x v="18"/>
      <x v="73"/>
    </i>
    <i r="1">
      <x v="19"/>
      <x v="84"/>
    </i>
    <i t="blank">
      <x v="2"/>
    </i>
    <i>
      <x v="3"/>
    </i>
    <i r="1">
      <x/>
      <x v="78"/>
    </i>
    <i r="1">
      <x v="1"/>
      <x v="61"/>
    </i>
    <i r="1">
      <x v="2"/>
      <x v="71"/>
    </i>
    <i r="1">
      <x v="3"/>
      <x v="72"/>
    </i>
    <i r="1">
      <x v="4"/>
      <x v="85"/>
    </i>
    <i r="1">
      <x v="5"/>
      <x v="56"/>
    </i>
    <i r="1">
      <x v="6"/>
      <x v="74"/>
    </i>
    <i r="1">
      <x v="7"/>
      <x v="73"/>
    </i>
    <i r="1">
      <x v="8"/>
      <x v="83"/>
    </i>
    <i r="1">
      <x v="9"/>
      <x v="49"/>
    </i>
    <i r="1">
      <x v="10"/>
      <x v="77"/>
    </i>
    <i r="1">
      <x v="11"/>
      <x v="59"/>
    </i>
    <i r="1">
      <x v="12"/>
      <x v="44"/>
    </i>
    <i r="1">
      <x v="13"/>
      <x v="76"/>
    </i>
    <i r="1">
      <x v="14"/>
      <x v="75"/>
    </i>
    <i r="1">
      <x v="15"/>
      <x v="63"/>
    </i>
    <i r="1">
      <x v="16"/>
      <x v="54"/>
    </i>
    <i r="1">
      <x v="17"/>
      <x v="3"/>
    </i>
    <i r="2">
      <x v="48"/>
    </i>
    <i r="1">
      <x v="19"/>
      <x v="50"/>
    </i>
    <i t="blank">
      <x v="3"/>
    </i>
    <i>
      <x v="4"/>
    </i>
    <i r="1">
      <x/>
      <x v="74"/>
    </i>
    <i r="1">
      <x v="1"/>
      <x v="61"/>
    </i>
    <i r="1">
      <x v="2"/>
      <x v="72"/>
    </i>
    <i r="1">
      <x v="3"/>
      <x v="71"/>
    </i>
    <i r="1">
      <x v="4"/>
      <x v="56"/>
    </i>
    <i r="1">
      <x v="5"/>
      <x v="78"/>
    </i>
    <i r="1">
      <x v="6"/>
      <x v="49"/>
    </i>
    <i r="1">
      <x v="7"/>
      <x v="73"/>
    </i>
    <i r="1">
      <x v="8"/>
      <x v="77"/>
    </i>
    <i r="1">
      <x v="9"/>
      <x v="75"/>
    </i>
    <i r="1">
      <x v="10"/>
      <x v="85"/>
    </i>
    <i r="1">
      <x v="11"/>
      <x v="47"/>
    </i>
    <i r="1">
      <x v="12"/>
      <x v="76"/>
    </i>
    <i r="1">
      <x v="13"/>
      <x v="62"/>
    </i>
    <i r="1">
      <x v="14"/>
      <x v="59"/>
    </i>
    <i r="1">
      <x v="15"/>
      <x v="8"/>
    </i>
    <i r="1">
      <x v="16"/>
      <x v="1"/>
    </i>
    <i r="1">
      <x v="17"/>
      <x v="44"/>
    </i>
    <i r="1">
      <x v="18"/>
      <x v="18"/>
    </i>
    <i r="1">
      <x v="19"/>
      <x v="54"/>
    </i>
    <i t="blank">
      <x v="4"/>
    </i>
    <i>
      <x v="5"/>
    </i>
    <i r="1">
      <x/>
      <x v="22"/>
    </i>
    <i r="1">
      <x v="1"/>
      <x v="74"/>
    </i>
    <i r="1">
      <x v="2"/>
      <x v="78"/>
    </i>
    <i r="1">
      <x v="3"/>
      <x v="72"/>
    </i>
    <i r="1">
      <x v="4"/>
      <x v="49"/>
    </i>
    <i r="2">
      <x v="71"/>
    </i>
    <i r="1">
      <x v="6"/>
      <x v="75"/>
    </i>
    <i r="1">
      <x v="7"/>
      <x v="61"/>
    </i>
    <i r="1">
      <x v="8"/>
      <x v="56"/>
    </i>
    <i r="1">
      <x v="9"/>
      <x v="77"/>
    </i>
    <i r="1">
      <x v="10"/>
      <x v="24"/>
    </i>
    <i r="2">
      <x v="62"/>
    </i>
    <i r="1">
      <x v="12"/>
      <x v="85"/>
    </i>
    <i r="1">
      <x v="13"/>
      <x v="33"/>
    </i>
    <i r="1">
      <x v="14"/>
      <x v="76"/>
    </i>
    <i r="1">
      <x v="15"/>
      <x v="47"/>
    </i>
    <i r="1">
      <x v="16"/>
      <x v="73"/>
    </i>
    <i r="1">
      <x v="17"/>
      <x v="51"/>
    </i>
    <i r="1">
      <x v="18"/>
      <x v="8"/>
    </i>
    <i r="1">
      <x v="19"/>
      <x v="54"/>
    </i>
    <i t="blank">
      <x v="5"/>
    </i>
    <i>
      <x v="6"/>
    </i>
    <i r="1">
      <x/>
      <x v="78"/>
    </i>
    <i r="1">
      <x v="1"/>
      <x v="74"/>
    </i>
    <i r="1">
      <x v="2"/>
      <x v="61"/>
    </i>
    <i r="1">
      <x v="3"/>
      <x v="71"/>
    </i>
    <i r="1">
      <x v="4"/>
      <x v="77"/>
    </i>
    <i r="1">
      <x v="5"/>
      <x v="83"/>
    </i>
    <i r="1">
      <x v="6"/>
      <x v="72"/>
    </i>
    <i r="1">
      <x v="7"/>
      <x v="85"/>
    </i>
    <i r="1">
      <x v="8"/>
      <x v="49"/>
    </i>
    <i r="1">
      <x v="9"/>
      <x v="59"/>
    </i>
    <i r="1">
      <x v="10"/>
      <x v="56"/>
    </i>
    <i r="2">
      <x v="76"/>
    </i>
    <i r="1">
      <x v="12"/>
      <x v="63"/>
    </i>
    <i r="1">
      <x v="13"/>
      <x v="44"/>
    </i>
    <i r="1">
      <x v="14"/>
      <x v="62"/>
    </i>
    <i r="1">
      <x v="15"/>
      <x v="3"/>
    </i>
    <i r="1">
      <x v="16"/>
      <x v="22"/>
    </i>
    <i r="1">
      <x v="17"/>
      <x v="75"/>
    </i>
    <i r="1">
      <x v="18"/>
      <x v="50"/>
    </i>
    <i r="1">
      <x v="19"/>
      <x v="8"/>
    </i>
    <i r="2">
      <x v="82"/>
    </i>
    <i t="blank">
      <x v="6"/>
    </i>
    <i>
      <x v="7"/>
    </i>
    <i r="1">
      <x/>
      <x v="78"/>
    </i>
    <i r="1">
      <x v="1"/>
      <x v="83"/>
    </i>
    <i r="1">
      <x v="2"/>
      <x v="61"/>
    </i>
    <i r="1">
      <x v="3"/>
      <x v="77"/>
    </i>
    <i r="1">
      <x v="4"/>
      <x v="74"/>
    </i>
    <i r="1">
      <x v="5"/>
      <x v="85"/>
    </i>
    <i r="1">
      <x v="6"/>
      <x v="62"/>
    </i>
    <i r="1">
      <x v="7"/>
      <x v="72"/>
    </i>
    <i r="1">
      <x v="8"/>
      <x v="49"/>
    </i>
    <i r="2">
      <x v="56"/>
    </i>
    <i r="2">
      <x v="76"/>
    </i>
    <i r="1">
      <x v="11"/>
      <x v="71"/>
    </i>
    <i r="1">
      <x v="12"/>
      <x v="44"/>
    </i>
    <i r="1">
      <x v="13"/>
      <x v="82"/>
    </i>
    <i r="1">
      <x v="14"/>
      <x v="59"/>
    </i>
    <i r="2">
      <x v="73"/>
    </i>
    <i r="1">
      <x v="16"/>
      <x v="50"/>
    </i>
    <i r="1">
      <x v="17"/>
      <x v="48"/>
    </i>
    <i r="2">
      <x v="75"/>
    </i>
    <i r="1">
      <x v="19"/>
      <x v="63"/>
    </i>
    <i t="blank">
      <x v="7"/>
    </i>
    <i>
      <x v="8"/>
    </i>
    <i r="1">
      <x/>
      <x v="78"/>
    </i>
    <i r="1">
      <x v="1"/>
      <x v="83"/>
    </i>
    <i r="1">
      <x v="2"/>
      <x v="61"/>
    </i>
    <i r="1">
      <x v="3"/>
      <x v="74"/>
    </i>
    <i r="1">
      <x v="4"/>
      <x v="85"/>
    </i>
    <i r="1">
      <x v="5"/>
      <x v="77"/>
    </i>
    <i r="1">
      <x v="6"/>
      <x v="56"/>
    </i>
    <i r="1">
      <x v="7"/>
      <x v="82"/>
    </i>
    <i r="1">
      <x v="8"/>
      <x v="50"/>
    </i>
    <i r="1">
      <x v="9"/>
      <x/>
    </i>
    <i r="1">
      <x v="10"/>
      <x v="71"/>
    </i>
    <i r="1">
      <x v="11"/>
      <x v="48"/>
    </i>
    <i r="1">
      <x v="12"/>
      <x v="9"/>
    </i>
    <i r="2">
      <x v="72"/>
    </i>
    <i r="2">
      <x v="76"/>
    </i>
    <i r="1">
      <x v="15"/>
      <x v="44"/>
    </i>
    <i r="1">
      <x v="16"/>
      <x v="1"/>
    </i>
    <i r="1">
      <x v="17"/>
      <x v="63"/>
    </i>
    <i r="1">
      <x v="18"/>
      <x v="39"/>
    </i>
    <i r="1">
      <x v="19"/>
      <x v="73"/>
    </i>
    <i t="blank">
      <x v="8"/>
    </i>
    <i>
      <x v="9"/>
    </i>
    <i r="1">
      <x/>
      <x v="73"/>
    </i>
    <i r="1">
      <x v="1"/>
      <x v="71"/>
    </i>
    <i r="1">
      <x v="2"/>
      <x v="72"/>
    </i>
    <i r="1">
      <x v="3"/>
      <x v="44"/>
    </i>
    <i r="1">
      <x v="4"/>
      <x v="61"/>
    </i>
    <i r="2">
      <x v="74"/>
    </i>
    <i r="1">
      <x v="6"/>
      <x v="56"/>
    </i>
    <i r="1">
      <x v="7"/>
      <x v="78"/>
    </i>
    <i r="1">
      <x v="8"/>
      <x v="64"/>
    </i>
    <i r="1">
      <x v="9"/>
      <x v="45"/>
    </i>
    <i r="1">
      <x v="10"/>
      <x v="66"/>
    </i>
    <i r="1">
      <x v="11"/>
      <x v="85"/>
    </i>
    <i r="1">
      <x v="12"/>
      <x v="60"/>
    </i>
    <i r="1">
      <x v="13"/>
      <x v="68"/>
    </i>
    <i r="1">
      <x v="14"/>
      <x v="59"/>
    </i>
    <i r="1">
      <x v="15"/>
      <x v="83"/>
    </i>
    <i r="1">
      <x v="16"/>
      <x v="42"/>
    </i>
    <i r="1">
      <x v="17"/>
      <x v="63"/>
    </i>
    <i r="1">
      <x v="18"/>
      <x v="49"/>
    </i>
    <i r="1">
      <x v="19"/>
      <x v="79"/>
    </i>
    <i t="blank">
      <x v="9"/>
    </i>
    <i>
      <x v="10"/>
    </i>
    <i r="1">
      <x/>
      <x v="61"/>
    </i>
    <i r="1">
      <x v="1"/>
      <x v="78"/>
    </i>
    <i r="1">
      <x v="2"/>
      <x v="50"/>
    </i>
    <i r="1">
      <x v="3"/>
      <x v="83"/>
    </i>
    <i r="1">
      <x v="4"/>
      <x v="86"/>
    </i>
    <i r="1">
      <x v="5"/>
      <x v="77"/>
    </i>
    <i r="1">
      <x v="6"/>
      <x v="74"/>
    </i>
    <i r="1">
      <x v="7"/>
      <x/>
    </i>
    <i r="1">
      <x v="8"/>
      <x v="85"/>
    </i>
    <i r="1">
      <x v="9"/>
      <x v="1"/>
    </i>
    <i r="1">
      <x v="10"/>
      <x v="82"/>
    </i>
    <i r="1">
      <x v="11"/>
      <x v="56"/>
    </i>
    <i r="1">
      <x v="12"/>
      <x v="3"/>
    </i>
    <i r="2">
      <x v="60"/>
    </i>
    <i r="1">
      <x v="14"/>
      <x v="9"/>
    </i>
    <i r="2">
      <x v="63"/>
    </i>
    <i r="2">
      <x v="71"/>
    </i>
    <i r="1">
      <x v="17"/>
      <x v="8"/>
    </i>
    <i r="1">
      <x v="18"/>
      <x v="44"/>
    </i>
    <i r="2">
      <x v="76"/>
    </i>
    <i t="blank">
      <x v="10"/>
    </i>
    <i>
      <x v="11"/>
    </i>
    <i r="1">
      <x/>
      <x v="78"/>
    </i>
    <i r="1">
      <x v="1"/>
      <x v="73"/>
    </i>
    <i r="1">
      <x v="2"/>
      <x v="61"/>
    </i>
    <i r="1">
      <x v="3"/>
      <x v="74"/>
    </i>
    <i r="1">
      <x v="4"/>
      <x v="56"/>
    </i>
    <i r="1">
      <x v="5"/>
      <x v="77"/>
    </i>
    <i r="1">
      <x v="6"/>
      <x v="83"/>
    </i>
    <i r="1">
      <x v="7"/>
      <x/>
    </i>
    <i r="1">
      <x v="8"/>
      <x v="71"/>
    </i>
    <i r="1">
      <x v="9"/>
      <x v="72"/>
    </i>
    <i r="1">
      <x v="10"/>
      <x v="85"/>
    </i>
    <i r="1">
      <x v="11"/>
      <x v="50"/>
    </i>
    <i r="1">
      <x v="12"/>
      <x v="44"/>
    </i>
    <i r="1">
      <x v="13"/>
      <x v="82"/>
    </i>
    <i r="1">
      <x v="14"/>
      <x v="8"/>
    </i>
    <i r="1">
      <x v="15"/>
      <x v="86"/>
    </i>
    <i r="1">
      <x v="16"/>
      <x v="49"/>
    </i>
    <i r="1">
      <x v="17"/>
      <x v="1"/>
    </i>
    <i r="1">
      <x v="18"/>
      <x v="76"/>
    </i>
    <i r="1">
      <x v="19"/>
      <x v="54"/>
    </i>
    <i t="blank">
      <x v="11"/>
    </i>
    <i>
      <x v="12"/>
    </i>
    <i r="1">
      <x/>
      <x v="78"/>
    </i>
    <i r="1">
      <x v="1"/>
      <x v="72"/>
    </i>
    <i r="1">
      <x v="2"/>
      <x v="61"/>
    </i>
    <i r="1">
      <x v="3"/>
      <x v="74"/>
    </i>
    <i r="1">
      <x v="4"/>
      <x v="85"/>
    </i>
    <i r="1">
      <x v="5"/>
      <x v="73"/>
    </i>
    <i r="1">
      <x v="6"/>
      <x v="77"/>
    </i>
    <i r="1">
      <x v="7"/>
      <x v="56"/>
    </i>
    <i r="1">
      <x v="8"/>
      <x v="71"/>
    </i>
    <i r="1">
      <x v="9"/>
      <x v="83"/>
    </i>
    <i r="1">
      <x v="10"/>
      <x v="49"/>
    </i>
    <i r="1">
      <x v="11"/>
      <x v="75"/>
    </i>
    <i r="1">
      <x v="12"/>
      <x v="44"/>
    </i>
    <i r="1">
      <x v="13"/>
      <x v="63"/>
    </i>
    <i r="1">
      <x v="14"/>
      <x v="59"/>
    </i>
    <i r="2">
      <x v="76"/>
    </i>
    <i r="1">
      <x v="16"/>
      <x v="9"/>
    </i>
    <i r="1">
      <x v="17"/>
      <x v="8"/>
    </i>
    <i r="1">
      <x v="18"/>
      <x v="47"/>
    </i>
    <i r="2">
      <x v="50"/>
    </i>
    <i t="blank">
      <x v="12"/>
    </i>
    <i>
      <x v="13"/>
    </i>
    <i r="1">
      <x/>
      <x v="78"/>
    </i>
    <i r="1">
      <x v="1"/>
      <x v="74"/>
    </i>
    <i r="1">
      <x v="2"/>
      <x v="77"/>
    </i>
    <i r="1">
      <x v="3"/>
      <x v="83"/>
    </i>
    <i r="1">
      <x v="4"/>
      <x v="72"/>
    </i>
    <i r="1">
      <x v="5"/>
      <x v="56"/>
    </i>
    <i r="1">
      <x v="6"/>
      <x v="85"/>
    </i>
    <i r="1">
      <x v="7"/>
      <x v="73"/>
    </i>
    <i r="1">
      <x v="8"/>
      <x v="71"/>
    </i>
    <i r="1">
      <x v="9"/>
      <x v="49"/>
    </i>
    <i r="1">
      <x v="10"/>
      <x v="76"/>
    </i>
    <i r="1">
      <x v="11"/>
      <x v="61"/>
    </i>
    <i r="1">
      <x v="12"/>
      <x v="44"/>
    </i>
    <i r="1">
      <x v="13"/>
      <x v="75"/>
    </i>
    <i r="1">
      <x v="14"/>
      <x v="59"/>
    </i>
    <i r="1">
      <x v="15"/>
      <x v="82"/>
    </i>
    <i r="1">
      <x v="16"/>
      <x v="54"/>
    </i>
    <i r="1">
      <x v="17"/>
      <x v="47"/>
    </i>
    <i r="1">
      <x v="18"/>
      <x v="50"/>
    </i>
    <i r="1">
      <x v="19"/>
      <x v="63"/>
    </i>
    <i t="blank">
      <x v="13"/>
    </i>
    <i>
      <x v="14"/>
    </i>
    <i r="1">
      <x/>
      <x v="78"/>
    </i>
    <i r="1">
      <x v="1"/>
      <x v="61"/>
    </i>
    <i r="1">
      <x v="2"/>
      <x v="85"/>
    </i>
    <i r="1">
      <x v="3"/>
      <x v="71"/>
    </i>
    <i r="1">
      <x v="4"/>
      <x v="56"/>
    </i>
    <i r="1">
      <x v="5"/>
      <x v="83"/>
    </i>
    <i r="1">
      <x v="6"/>
      <x v="74"/>
    </i>
    <i r="1">
      <x v="7"/>
      <x v="72"/>
    </i>
    <i r="1">
      <x v="8"/>
      <x v="63"/>
    </i>
    <i r="1">
      <x v="9"/>
      <x v="77"/>
    </i>
    <i r="1">
      <x v="10"/>
      <x v="44"/>
    </i>
    <i r="1">
      <x v="11"/>
      <x v="59"/>
    </i>
    <i r="1">
      <x v="12"/>
      <x v="73"/>
    </i>
    <i r="1">
      <x v="13"/>
      <x v="76"/>
    </i>
    <i r="1">
      <x v="14"/>
      <x v="82"/>
    </i>
    <i r="1">
      <x v="15"/>
      <x v="49"/>
    </i>
    <i r="1">
      <x v="16"/>
      <x v="54"/>
    </i>
    <i r="1">
      <x v="17"/>
      <x v="1"/>
    </i>
    <i r="1">
      <x v="18"/>
      <x v="60"/>
    </i>
    <i r="1">
      <x v="19"/>
      <x v="50"/>
    </i>
    <i t="blank">
      <x v="14"/>
    </i>
    <i>
      <x v="15"/>
    </i>
    <i r="1">
      <x/>
      <x v="78"/>
    </i>
    <i r="1">
      <x v="1"/>
      <x v="61"/>
    </i>
    <i r="1">
      <x v="2"/>
      <x v="74"/>
    </i>
    <i r="1">
      <x v="3"/>
      <x v="56"/>
    </i>
    <i r="1">
      <x v="4"/>
      <x v="62"/>
    </i>
    <i r="1">
      <x v="5"/>
      <x v="77"/>
    </i>
    <i r="1">
      <x v="6"/>
      <x v="73"/>
    </i>
    <i r="1">
      <x v="7"/>
      <x v="44"/>
    </i>
    <i r="1">
      <x v="8"/>
      <x v="71"/>
    </i>
    <i r="2">
      <x v="86"/>
    </i>
    <i r="1">
      <x v="10"/>
      <x v="8"/>
    </i>
    <i r="2">
      <x v="48"/>
    </i>
    <i r="1">
      <x v="12"/>
      <x/>
    </i>
    <i r="2">
      <x v="68"/>
    </i>
    <i r="2">
      <x v="75"/>
    </i>
    <i r="1">
      <x v="15"/>
      <x v="50"/>
    </i>
    <i r="2">
      <x v="85"/>
    </i>
    <i r="1">
      <x v="17"/>
      <x v="49"/>
    </i>
    <i r="2">
      <x v="83"/>
    </i>
    <i r="1">
      <x v="19"/>
      <x v="54"/>
    </i>
    <i t="blank">
      <x v="15"/>
    </i>
    <i>
      <x v="16"/>
    </i>
    <i r="1">
      <x/>
      <x v="78"/>
    </i>
    <i r="1">
      <x v="1"/>
      <x v="61"/>
    </i>
    <i r="1">
      <x v="2"/>
      <x v="44"/>
    </i>
    <i r="1">
      <x v="3"/>
      <x v="85"/>
    </i>
    <i r="1">
      <x v="4"/>
      <x v="56"/>
    </i>
    <i r="1">
      <x v="5"/>
      <x v="63"/>
    </i>
    <i r="2">
      <x v="71"/>
    </i>
    <i r="1">
      <x v="7"/>
      <x v="83"/>
    </i>
    <i r="1">
      <x v="8"/>
      <x v="59"/>
    </i>
    <i r="1">
      <x v="9"/>
      <x v="60"/>
    </i>
    <i r="1">
      <x v="10"/>
      <x v="74"/>
    </i>
    <i r="1">
      <x v="11"/>
      <x v="79"/>
    </i>
    <i r="1">
      <x v="12"/>
      <x v="76"/>
    </i>
    <i r="1">
      <x v="13"/>
      <x v="49"/>
    </i>
    <i r="1">
      <x v="14"/>
      <x v="72"/>
    </i>
    <i r="1">
      <x v="15"/>
      <x v="1"/>
    </i>
    <i r="2">
      <x v="84"/>
    </i>
    <i r="1">
      <x v="17"/>
      <x v="45"/>
    </i>
    <i r="2">
      <x v="68"/>
    </i>
    <i r="1">
      <x v="19"/>
      <x v="42"/>
    </i>
    <i r="2">
      <x v="73"/>
    </i>
    <i t="blank">
      <x v="16"/>
    </i>
    <i>
      <x v="17"/>
    </i>
    <i r="1">
      <x/>
      <x v="78"/>
    </i>
    <i r="1">
      <x v="1"/>
      <x v="72"/>
    </i>
    <i r="1">
      <x v="2"/>
      <x v="61"/>
    </i>
    <i r="1">
      <x v="3"/>
      <x v="85"/>
    </i>
    <i r="1">
      <x v="4"/>
      <x v="77"/>
    </i>
    <i r="1">
      <x v="5"/>
      <x v="83"/>
    </i>
    <i r="1">
      <x v="6"/>
      <x v="74"/>
    </i>
    <i r="1">
      <x v="7"/>
      <x v="56"/>
    </i>
    <i r="2">
      <x v="73"/>
    </i>
    <i r="1">
      <x v="9"/>
      <x v="71"/>
    </i>
    <i r="1">
      <x v="10"/>
      <x v="63"/>
    </i>
    <i r="1">
      <x v="11"/>
      <x v="50"/>
    </i>
    <i r="1">
      <x v="12"/>
      <x v="76"/>
    </i>
    <i r="1">
      <x v="13"/>
      <x v="1"/>
    </i>
    <i r="1">
      <x v="14"/>
      <x/>
    </i>
    <i r="1">
      <x v="15"/>
      <x v="49"/>
    </i>
    <i r="2">
      <x v="59"/>
    </i>
    <i r="1">
      <x v="17"/>
      <x v="8"/>
    </i>
    <i r="1">
      <x v="18"/>
      <x v="82"/>
    </i>
    <i r="1">
      <x v="19"/>
      <x v="44"/>
    </i>
    <i t="blank">
      <x v="17"/>
    </i>
    <i>
      <x v="18"/>
    </i>
    <i r="1">
      <x/>
      <x v="61"/>
    </i>
    <i r="1">
      <x v="1"/>
      <x v="78"/>
    </i>
    <i r="1">
      <x v="2"/>
      <x v="77"/>
    </i>
    <i r="1">
      <x v="3"/>
      <x v="56"/>
    </i>
    <i r="2">
      <x v="83"/>
    </i>
    <i r="1">
      <x v="5"/>
      <x/>
    </i>
    <i r="2">
      <x v="8"/>
    </i>
    <i r="2">
      <x v="62"/>
    </i>
    <i r="2">
      <x v="74"/>
    </i>
    <i r="1">
      <x v="9"/>
      <x v="73"/>
    </i>
    <i r="1">
      <x v="10"/>
      <x v="85"/>
    </i>
    <i r="1">
      <x v="11"/>
      <x v="75"/>
    </i>
    <i r="1">
      <x v="12"/>
      <x v="50"/>
    </i>
    <i r="2">
      <x v="82"/>
    </i>
    <i r="1">
      <x v="14"/>
      <x v="47"/>
    </i>
    <i r="2">
      <x v="54"/>
    </i>
    <i r="2">
      <x v="71"/>
    </i>
    <i r="2">
      <x v="86"/>
    </i>
    <i r="1">
      <x v="18"/>
      <x v="48"/>
    </i>
    <i r="1">
      <x v="19"/>
      <x v="2"/>
    </i>
    <i r="2">
      <x v="6"/>
    </i>
    <i r="2">
      <x v="44"/>
    </i>
    <i t="blank">
      <x v="18"/>
    </i>
    <i>
      <x v="19"/>
    </i>
    <i r="1">
      <x/>
      <x v="69"/>
    </i>
    <i r="1">
      <x v="1"/>
      <x v="74"/>
    </i>
    <i r="2">
      <x v="78"/>
    </i>
    <i r="1">
      <x v="3"/>
      <x v="25"/>
    </i>
    <i r="1">
      <x v="4"/>
      <x v="73"/>
    </i>
    <i r="1">
      <x v="5"/>
      <x v="61"/>
    </i>
    <i r="1">
      <x v="6"/>
      <x v="56"/>
    </i>
    <i r="1">
      <x v="7"/>
      <x v="77"/>
    </i>
    <i r="1">
      <x v="8"/>
      <x v="2"/>
    </i>
    <i r="1">
      <x v="9"/>
      <x v="83"/>
    </i>
    <i r="1">
      <x v="10"/>
      <x/>
    </i>
    <i r="2">
      <x v="48"/>
    </i>
    <i r="1">
      <x v="12"/>
      <x v="71"/>
    </i>
    <i r="1">
      <x v="13"/>
      <x v="72"/>
    </i>
    <i r="1">
      <x v="14"/>
      <x v="54"/>
    </i>
    <i r="1">
      <x v="15"/>
      <x v="85"/>
    </i>
    <i r="1">
      <x v="16"/>
      <x v="8"/>
    </i>
    <i r="1">
      <x v="17"/>
      <x v="70"/>
    </i>
    <i r="1">
      <x v="18"/>
      <x v="47"/>
    </i>
    <i r="2">
      <x v="50"/>
    </i>
    <i t="blank">
      <x v="19"/>
    </i>
    <i>
      <x v="20"/>
    </i>
    <i r="1">
      <x/>
      <x v="78"/>
    </i>
    <i r="1">
      <x v="1"/>
      <x v="74"/>
    </i>
    <i r="1">
      <x v="2"/>
      <x v="61"/>
    </i>
    <i r="1">
      <x v="3"/>
      <x v="83"/>
    </i>
    <i r="1">
      <x v="4"/>
      <x v="77"/>
    </i>
    <i r="1">
      <x v="5"/>
      <x v="72"/>
    </i>
    <i r="1">
      <x v="6"/>
      <x v="56"/>
    </i>
    <i r="1">
      <x v="7"/>
      <x v="62"/>
    </i>
    <i r="2">
      <x v="71"/>
    </i>
    <i r="1">
      <x v="9"/>
      <x v="85"/>
    </i>
    <i r="1">
      <x v="10"/>
      <x v="73"/>
    </i>
    <i r="1">
      <x v="11"/>
      <x v="50"/>
    </i>
    <i r="1">
      <x v="12"/>
      <x v="1"/>
    </i>
    <i r="1">
      <x v="13"/>
      <x/>
    </i>
    <i r="2">
      <x v="76"/>
    </i>
    <i r="2">
      <x v="82"/>
    </i>
    <i r="1">
      <x v="16"/>
      <x v="8"/>
    </i>
    <i r="1">
      <x v="17"/>
      <x v="9"/>
    </i>
    <i r="1">
      <x v="18"/>
      <x v="59"/>
    </i>
    <i r="1">
      <x v="19"/>
      <x v="44"/>
    </i>
    <i t="blank">
      <x v="20"/>
    </i>
    <i>
      <x v="21"/>
    </i>
    <i r="1">
      <x/>
      <x v="78"/>
    </i>
    <i r="1">
      <x v="1"/>
      <x v="77"/>
    </i>
    <i r="1">
      <x v="2"/>
      <x v="56"/>
    </i>
    <i r="1">
      <x v="3"/>
      <x v="74"/>
    </i>
    <i r="1">
      <x v="4"/>
      <x/>
    </i>
    <i r="2">
      <x v="61"/>
    </i>
    <i r="1">
      <x v="6"/>
      <x v="71"/>
    </i>
    <i r="1">
      <x v="7"/>
      <x v="50"/>
    </i>
    <i r="2">
      <x v="85"/>
    </i>
    <i r="1">
      <x v="9"/>
      <x v="83"/>
    </i>
    <i r="1">
      <x v="10"/>
      <x v="44"/>
    </i>
    <i r="2">
      <x v="54"/>
    </i>
    <i r="1">
      <x v="12"/>
      <x v="8"/>
    </i>
    <i r="2">
      <x v="75"/>
    </i>
    <i r="1">
      <x v="14"/>
      <x v="55"/>
    </i>
    <i r="1">
      <x v="15"/>
      <x v="2"/>
    </i>
    <i r="2">
      <x v="47"/>
    </i>
    <i r="1">
      <x v="17"/>
      <x v="49"/>
    </i>
    <i r="2">
      <x v="62"/>
    </i>
    <i r="2">
      <x v="73"/>
    </i>
    <i r="2">
      <x v="82"/>
    </i>
    <i t="blank">
      <x v="21"/>
    </i>
    <i>
      <x v="22"/>
    </i>
    <i r="1">
      <x/>
      <x v="13"/>
    </i>
    <i r="1">
      <x v="1"/>
      <x v="78"/>
    </i>
    <i r="1">
      <x v="2"/>
      <x v="77"/>
    </i>
    <i r="1">
      <x v="3"/>
      <x v="16"/>
    </i>
    <i r="1">
      <x v="4"/>
      <x v="50"/>
    </i>
    <i r="1">
      <x v="5"/>
      <x v="56"/>
    </i>
    <i r="1">
      <x v="6"/>
      <x v="71"/>
    </i>
    <i r="1">
      <x v="7"/>
      <x/>
    </i>
    <i r="1">
      <x v="8"/>
      <x v="15"/>
    </i>
    <i r="1">
      <x v="9"/>
      <x v="8"/>
    </i>
    <i r="1">
      <x v="10"/>
      <x v="72"/>
    </i>
    <i r="2">
      <x v="74"/>
    </i>
    <i r="1">
      <x v="12"/>
      <x v="36"/>
    </i>
    <i r="2">
      <x v="51"/>
    </i>
    <i r="1">
      <x v="14"/>
      <x v="54"/>
    </i>
    <i r="1">
      <x v="15"/>
      <x v="73"/>
    </i>
    <i r="1">
      <x v="16"/>
      <x v="1"/>
    </i>
    <i r="2">
      <x v="82"/>
    </i>
    <i r="2">
      <x v="86"/>
    </i>
    <i r="1">
      <x v="19"/>
      <x v="61"/>
    </i>
    <i r="2">
      <x v="83"/>
    </i>
    <i t="blank">
      <x v="22"/>
    </i>
    <i>
      <x v="23"/>
    </i>
    <i r="1">
      <x/>
      <x v="78"/>
    </i>
    <i r="1">
      <x v="1"/>
      <x v="61"/>
    </i>
    <i r="1">
      <x v="2"/>
      <x v="74"/>
    </i>
    <i r="1">
      <x v="3"/>
      <x v="63"/>
    </i>
    <i r="1">
      <x v="4"/>
      <x v="56"/>
    </i>
    <i r="1">
      <x v="5"/>
      <x/>
    </i>
    <i r="2">
      <x v="85"/>
    </i>
    <i r="1">
      <x v="7"/>
      <x v="83"/>
    </i>
    <i r="1">
      <x v="8"/>
      <x v="71"/>
    </i>
    <i r="1">
      <x v="9"/>
      <x v="44"/>
    </i>
    <i r="1">
      <x v="10"/>
      <x v="77"/>
    </i>
    <i r="1">
      <x v="11"/>
      <x v="82"/>
    </i>
    <i r="1">
      <x v="12"/>
      <x v="49"/>
    </i>
    <i r="1">
      <x v="13"/>
      <x v="72"/>
    </i>
    <i r="1">
      <x v="14"/>
      <x v="59"/>
    </i>
    <i r="1">
      <x v="15"/>
      <x v="76"/>
    </i>
    <i r="1">
      <x v="16"/>
      <x v="60"/>
    </i>
    <i r="1">
      <x v="17"/>
      <x v="50"/>
    </i>
    <i r="1">
      <x v="18"/>
      <x v="54"/>
    </i>
    <i r="1">
      <x v="19"/>
      <x v="3"/>
    </i>
    <i r="2">
      <x v="48"/>
    </i>
    <i t="blank">
      <x v="23"/>
    </i>
    <i>
      <x v="24"/>
    </i>
    <i r="1">
      <x/>
      <x v="29"/>
    </i>
    <i r="1">
      <x v="1"/>
      <x v="78"/>
    </i>
    <i r="1">
      <x v="2"/>
      <x v="42"/>
    </i>
    <i r="1">
      <x v="3"/>
      <x v="74"/>
    </i>
    <i r="1">
      <x v="4"/>
      <x v="77"/>
    </i>
    <i r="1">
      <x v="5"/>
      <x/>
    </i>
    <i r="1">
      <x v="6"/>
      <x v="83"/>
    </i>
    <i r="1">
      <x v="7"/>
      <x v="50"/>
    </i>
    <i r="1">
      <x v="8"/>
      <x v="56"/>
    </i>
    <i r="2">
      <x v="71"/>
    </i>
    <i r="1">
      <x v="10"/>
      <x v="86"/>
    </i>
    <i r="1">
      <x v="11"/>
      <x v="85"/>
    </i>
    <i r="1">
      <x v="12"/>
      <x v="49"/>
    </i>
    <i r="2">
      <x v="54"/>
    </i>
    <i r="1">
      <x v="14"/>
      <x v="2"/>
    </i>
    <i r="2">
      <x v="76"/>
    </i>
    <i r="1">
      <x v="16"/>
      <x v="1"/>
    </i>
    <i r="1">
      <x v="17"/>
      <x v="82"/>
    </i>
    <i r="1">
      <x v="18"/>
      <x v="9"/>
    </i>
    <i r="2">
      <x v="72"/>
    </i>
    <i r="2">
      <x v="73"/>
    </i>
    <i t="blank">
      <x v="24"/>
    </i>
    <i>
      <x v="25"/>
    </i>
    <i r="1">
      <x/>
      <x v="78"/>
    </i>
    <i r="1">
      <x v="1"/>
      <x v="74"/>
    </i>
    <i r="1">
      <x v="2"/>
      <x v="77"/>
    </i>
    <i r="1">
      <x v="3"/>
      <x v="72"/>
    </i>
    <i r="2">
      <x v="83"/>
    </i>
    <i r="1">
      <x v="5"/>
      <x v="73"/>
    </i>
    <i r="1">
      <x v="6"/>
      <x v="85"/>
    </i>
    <i r="1">
      <x v="7"/>
      <x/>
    </i>
    <i r="2">
      <x v="56"/>
    </i>
    <i r="1">
      <x v="9"/>
      <x v="75"/>
    </i>
    <i r="1">
      <x v="10"/>
      <x v="61"/>
    </i>
    <i r="1">
      <x v="11"/>
      <x v="71"/>
    </i>
    <i r="1">
      <x v="12"/>
      <x v="76"/>
    </i>
    <i r="1">
      <x v="13"/>
      <x v="8"/>
    </i>
    <i r="2">
      <x v="49"/>
    </i>
    <i r="1">
      <x v="15"/>
      <x v="82"/>
    </i>
    <i r="1">
      <x v="16"/>
      <x v="9"/>
    </i>
    <i r="2">
      <x v="48"/>
    </i>
    <i r="1">
      <x v="18"/>
      <x v="54"/>
    </i>
    <i r="2">
      <x v="62"/>
    </i>
    <i t="blank">
      <x v="25"/>
    </i>
    <i>
      <x v="26"/>
    </i>
    <i r="1">
      <x/>
      <x v="78"/>
    </i>
    <i r="1">
      <x v="1"/>
      <x v="61"/>
    </i>
    <i r="1">
      <x v="2"/>
      <x v="83"/>
    </i>
    <i r="1">
      <x v="3"/>
      <x v="56"/>
    </i>
    <i r="1">
      <x v="4"/>
      <x v="74"/>
    </i>
    <i r="1">
      <x v="5"/>
      <x v="85"/>
    </i>
    <i r="1">
      <x v="6"/>
      <x v="73"/>
    </i>
    <i r="1">
      <x v="7"/>
      <x v="72"/>
    </i>
    <i r="1">
      <x v="8"/>
      <x/>
    </i>
    <i r="1">
      <x v="9"/>
      <x v="50"/>
    </i>
    <i r="2">
      <x v="71"/>
    </i>
    <i r="1">
      <x v="11"/>
      <x v="63"/>
    </i>
    <i r="2">
      <x v="82"/>
    </i>
    <i r="1">
      <x v="13"/>
      <x v="60"/>
    </i>
    <i r="1">
      <x v="14"/>
      <x v="51"/>
    </i>
    <i r="2">
      <x v="76"/>
    </i>
    <i r="1">
      <x v="16"/>
      <x v="49"/>
    </i>
    <i r="1">
      <x v="17"/>
      <x v="44"/>
    </i>
    <i r="1">
      <x v="18"/>
      <x v="77"/>
    </i>
    <i r="1">
      <x v="19"/>
      <x v="48"/>
    </i>
    <i t="blank">
      <x v="26"/>
    </i>
    <i>
      <x v="27"/>
    </i>
    <i r="1">
      <x/>
      <x v="29"/>
    </i>
    <i r="1">
      <x v="1"/>
      <x v="78"/>
    </i>
    <i r="1">
      <x v="2"/>
      <x v="61"/>
    </i>
    <i r="1">
      <x v="3"/>
      <x/>
    </i>
    <i r="1">
      <x v="4"/>
      <x v="50"/>
    </i>
    <i r="1">
      <x v="5"/>
      <x v="56"/>
    </i>
    <i r="1">
      <x v="6"/>
      <x v="42"/>
    </i>
    <i r="2">
      <x v="77"/>
    </i>
    <i r="1">
      <x v="8"/>
      <x v="73"/>
    </i>
    <i r="1">
      <x v="9"/>
      <x v="74"/>
    </i>
    <i r="1">
      <x v="10"/>
      <x v="83"/>
    </i>
    <i r="1">
      <x v="11"/>
      <x v="85"/>
    </i>
    <i r="1">
      <x v="12"/>
      <x v="1"/>
    </i>
    <i r="1">
      <x v="13"/>
      <x v="44"/>
    </i>
    <i r="1">
      <x v="14"/>
      <x v="2"/>
    </i>
    <i r="2">
      <x v="54"/>
    </i>
    <i r="2">
      <x v="86"/>
    </i>
    <i r="1">
      <x v="17"/>
      <x v="37"/>
    </i>
    <i r="2">
      <x v="71"/>
    </i>
    <i r="1">
      <x v="19"/>
      <x v="8"/>
    </i>
    <i r="2">
      <x v="72"/>
    </i>
    <i t="blank">
      <x v="27"/>
    </i>
    <i>
      <x v="28"/>
    </i>
    <i r="1">
      <x/>
      <x v="78"/>
    </i>
    <i r="1">
      <x v="1"/>
      <x/>
    </i>
    <i r="1">
      <x v="2"/>
      <x v="56"/>
    </i>
    <i r="1">
      <x v="3"/>
      <x v="71"/>
    </i>
    <i r="1">
      <x v="4"/>
      <x v="61"/>
    </i>
    <i r="1">
      <x v="5"/>
      <x v="83"/>
    </i>
    <i r="1">
      <x v="6"/>
      <x v="77"/>
    </i>
    <i r="1">
      <x v="7"/>
      <x v="85"/>
    </i>
    <i r="1">
      <x v="8"/>
      <x v="62"/>
    </i>
    <i r="1">
      <x v="9"/>
      <x v="50"/>
    </i>
    <i r="1">
      <x v="10"/>
      <x v="49"/>
    </i>
    <i r="2">
      <x v="74"/>
    </i>
    <i r="2">
      <x v="76"/>
    </i>
    <i r="1">
      <x v="13"/>
      <x v="60"/>
    </i>
    <i r="1">
      <x v="14"/>
      <x v="63"/>
    </i>
    <i r="2">
      <x v="82"/>
    </i>
    <i r="1">
      <x v="16"/>
      <x v="86"/>
    </i>
    <i r="1">
      <x v="17"/>
      <x v="8"/>
    </i>
    <i r="1">
      <x v="18"/>
      <x v="1"/>
    </i>
    <i r="2">
      <x v="3"/>
    </i>
    <i r="2">
      <x v="53"/>
    </i>
    <i r="2">
      <x v="65"/>
    </i>
    <i t="blank">
      <x v="28"/>
    </i>
    <i>
      <x v="29"/>
    </i>
    <i r="1">
      <x/>
      <x/>
    </i>
    <i r="1">
      <x v="1"/>
      <x v="78"/>
    </i>
    <i r="1">
      <x v="2"/>
      <x v="77"/>
    </i>
    <i r="1">
      <x v="3"/>
      <x v="74"/>
    </i>
    <i r="1">
      <x v="4"/>
      <x v="8"/>
    </i>
    <i r="1">
      <x v="5"/>
      <x v="29"/>
    </i>
    <i r="1">
      <x v="6"/>
      <x v="50"/>
    </i>
    <i r="1">
      <x v="7"/>
      <x v="31"/>
    </i>
    <i r="1">
      <x v="8"/>
      <x v="35"/>
    </i>
    <i r="1">
      <x v="9"/>
      <x v="56"/>
    </i>
    <i r="1">
      <x v="10"/>
      <x v="54"/>
    </i>
    <i r="1">
      <x v="11"/>
      <x v="30"/>
    </i>
    <i r="1">
      <x v="12"/>
      <x v="4"/>
    </i>
    <i r="2">
      <x v="32"/>
    </i>
    <i r="2">
      <x v="34"/>
    </i>
    <i r="2">
      <x v="76"/>
    </i>
    <i r="1">
      <x v="16"/>
      <x v="19"/>
    </i>
    <i r="1">
      <x v="17"/>
      <x v="44"/>
    </i>
    <i r="2">
      <x v="49"/>
    </i>
    <i r="2">
      <x v="86"/>
    </i>
    <i t="blank">
      <x v="29"/>
    </i>
    <i>
      <x v="30"/>
    </i>
    <i r="1">
      <x/>
      <x v="27"/>
    </i>
    <i r="1">
      <x v="1"/>
      <x v="78"/>
    </i>
    <i r="1">
      <x v="2"/>
      <x/>
    </i>
    <i r="1">
      <x v="3"/>
      <x v="2"/>
    </i>
    <i r="1">
      <x v="4"/>
      <x v="74"/>
    </i>
    <i r="1">
      <x v="5"/>
      <x v="56"/>
    </i>
    <i r="1">
      <x v="6"/>
      <x v="77"/>
    </i>
    <i r="1">
      <x v="7"/>
      <x v="48"/>
    </i>
    <i r="1">
      <x v="8"/>
      <x v="61"/>
    </i>
    <i r="1">
      <x v="9"/>
      <x v="1"/>
    </i>
    <i r="1">
      <x v="10"/>
      <x v="49"/>
    </i>
    <i r="2">
      <x v="71"/>
    </i>
    <i r="1">
      <x v="12"/>
      <x v="5"/>
    </i>
    <i r="2">
      <x v="8"/>
    </i>
    <i r="1">
      <x v="14"/>
      <x v="50"/>
    </i>
    <i r="1">
      <x v="15"/>
      <x v="9"/>
    </i>
    <i r="1">
      <x v="16"/>
      <x v="53"/>
    </i>
    <i r="1">
      <x v="17"/>
      <x v="83"/>
    </i>
    <i r="1">
      <x v="18"/>
      <x v="55"/>
    </i>
    <i r="2">
      <x v="82"/>
    </i>
    <i t="blank">
      <x v="30"/>
    </i>
    <i>
      <x v="31"/>
    </i>
    <i r="1">
      <x/>
      <x v="69"/>
    </i>
    <i r="1">
      <x v="1"/>
      <x/>
    </i>
    <i r="1">
      <x v="2"/>
      <x v="78"/>
    </i>
    <i r="1">
      <x v="3"/>
      <x v="56"/>
    </i>
    <i r="1">
      <x v="4"/>
      <x v="77"/>
    </i>
    <i r="1">
      <x v="5"/>
      <x v="50"/>
    </i>
    <i r="1">
      <x v="6"/>
      <x v="2"/>
    </i>
    <i r="2">
      <x v="61"/>
    </i>
    <i r="1">
      <x v="8"/>
      <x v="83"/>
    </i>
    <i r="1">
      <x v="9"/>
      <x v="74"/>
    </i>
    <i r="2">
      <x v="82"/>
    </i>
    <i r="1">
      <x v="11"/>
      <x v="8"/>
    </i>
    <i r="2">
      <x v="44"/>
    </i>
    <i r="2">
      <x v="54"/>
    </i>
    <i r="1">
      <x v="14"/>
      <x v="47"/>
    </i>
    <i r="2">
      <x v="71"/>
    </i>
    <i r="1">
      <x v="16"/>
      <x v="51"/>
    </i>
    <i r="2">
      <x v="55"/>
    </i>
    <i r="2">
      <x v="68"/>
    </i>
    <i r="2">
      <x v="86"/>
    </i>
    <i t="blank">
      <x v="31"/>
    </i>
    <i>
      <x v="32"/>
    </i>
    <i r="1">
      <x/>
      <x v="78"/>
    </i>
    <i r="1">
      <x v="1"/>
      <x/>
    </i>
    <i r="1">
      <x v="2"/>
      <x v="77"/>
    </i>
    <i r="1">
      <x v="3"/>
      <x v="2"/>
    </i>
    <i r="1">
      <x v="4"/>
      <x v="50"/>
    </i>
    <i r="1">
      <x v="5"/>
      <x v="56"/>
    </i>
    <i r="1">
      <x v="6"/>
      <x v="83"/>
    </i>
    <i r="1">
      <x v="7"/>
      <x v="73"/>
    </i>
    <i r="1">
      <x v="8"/>
      <x v="8"/>
    </i>
    <i r="1">
      <x v="9"/>
      <x v="71"/>
    </i>
    <i r="2">
      <x v="74"/>
    </i>
    <i r="1">
      <x v="11"/>
      <x v="1"/>
    </i>
    <i r="2">
      <x v="54"/>
    </i>
    <i r="1">
      <x v="13"/>
      <x v="9"/>
    </i>
    <i r="1">
      <x v="14"/>
      <x v="61"/>
    </i>
    <i r="1">
      <x v="15"/>
      <x v="44"/>
    </i>
    <i r="1">
      <x v="16"/>
      <x v="7"/>
    </i>
    <i r="2">
      <x v="82"/>
    </i>
    <i r="1">
      <x v="18"/>
      <x v="4"/>
    </i>
    <i r="1">
      <x v="19"/>
      <x v="5"/>
    </i>
    <i r="2">
      <x v="17"/>
    </i>
    <i r="2">
      <x v="86"/>
    </i>
    <i t="blank">
      <x v="32"/>
    </i>
    <i>
      <x v="33"/>
    </i>
    <i r="1">
      <x/>
      <x v="26"/>
    </i>
    <i r="1">
      <x v="1"/>
      <x v="78"/>
    </i>
    <i r="1">
      <x v="2"/>
      <x v="61"/>
    </i>
    <i r="1">
      <x v="3"/>
      <x v="77"/>
    </i>
    <i r="1">
      <x v="4"/>
      <x v="56"/>
    </i>
    <i r="1">
      <x v="5"/>
      <x v="74"/>
    </i>
    <i r="1">
      <x v="6"/>
      <x v="86"/>
    </i>
    <i r="1">
      <x v="7"/>
      <x/>
    </i>
    <i r="1">
      <x v="8"/>
      <x v="49"/>
    </i>
    <i r="1">
      <x v="9"/>
      <x v="40"/>
    </i>
    <i r="1">
      <x v="10"/>
      <x v="44"/>
    </i>
    <i r="2">
      <x v="47"/>
    </i>
    <i r="1">
      <x v="12"/>
      <x v="11"/>
    </i>
    <i r="2">
      <x v="71"/>
    </i>
    <i r="2">
      <x v="83"/>
    </i>
    <i r="1">
      <x v="15"/>
      <x v="41"/>
    </i>
    <i r="2">
      <x v="82"/>
    </i>
    <i r="1">
      <x v="17"/>
      <x v="1"/>
    </i>
    <i r="2">
      <x v="8"/>
    </i>
    <i r="2">
      <x v="51"/>
    </i>
    <i t="blank">
      <x v="33"/>
    </i>
    <i>
      <x v="34"/>
    </i>
    <i r="1">
      <x/>
      <x v="78"/>
    </i>
    <i r="1">
      <x v="1"/>
      <x/>
    </i>
    <i r="1">
      <x v="2"/>
      <x v="61"/>
    </i>
    <i r="1">
      <x v="3"/>
      <x v="50"/>
    </i>
    <i r="1">
      <x v="4"/>
      <x v="77"/>
    </i>
    <i r="1">
      <x v="5"/>
      <x v="83"/>
    </i>
    <i r="1">
      <x v="6"/>
      <x v="56"/>
    </i>
    <i r="1">
      <x v="7"/>
      <x v="74"/>
    </i>
    <i r="1">
      <x v="8"/>
      <x v="44"/>
    </i>
    <i r="2">
      <x v="73"/>
    </i>
    <i r="1">
      <x v="10"/>
      <x v="8"/>
    </i>
    <i r="2">
      <x v="48"/>
    </i>
    <i r="2">
      <x v="68"/>
    </i>
    <i r="1">
      <x v="13"/>
      <x v="49"/>
    </i>
    <i r="2">
      <x v="54"/>
    </i>
    <i r="2">
      <x v="76"/>
    </i>
    <i r="1">
      <x v="16"/>
      <x v="52"/>
    </i>
    <i r="2">
      <x v="62"/>
    </i>
    <i r="2">
      <x v="82"/>
    </i>
    <i r="1">
      <x v="19"/>
      <x v="1"/>
    </i>
    <i r="2">
      <x v="2"/>
    </i>
    <i r="2">
      <x v="71"/>
    </i>
    <i t="blank">
      <x v="34"/>
    </i>
    <i>
      <x v="35"/>
    </i>
    <i r="1">
      <x/>
      <x v="10"/>
    </i>
    <i r="1">
      <x v="1"/>
      <x v="74"/>
    </i>
    <i r="1">
      <x v="2"/>
      <x/>
    </i>
    <i r="1">
      <x v="3"/>
      <x v="78"/>
    </i>
    <i r="1">
      <x v="4"/>
      <x v="77"/>
    </i>
    <i r="1">
      <x v="5"/>
      <x v="56"/>
    </i>
    <i r="1">
      <x v="6"/>
      <x v="49"/>
    </i>
    <i r="1">
      <x v="7"/>
      <x v="38"/>
    </i>
    <i r="1">
      <x v="8"/>
      <x v="47"/>
    </i>
    <i r="2">
      <x v="50"/>
    </i>
    <i r="2">
      <x v="61"/>
    </i>
    <i r="1">
      <x v="11"/>
      <x v="83"/>
    </i>
    <i r="1">
      <x v="12"/>
      <x v="85"/>
    </i>
    <i r="1">
      <x v="13"/>
      <x v="69"/>
    </i>
    <i r="1">
      <x v="14"/>
      <x v="75"/>
    </i>
    <i r="1">
      <x v="15"/>
      <x v="2"/>
    </i>
    <i r="2">
      <x v="46"/>
    </i>
    <i r="2">
      <x v="76"/>
    </i>
    <i r="1">
      <x v="18"/>
      <x v="4"/>
    </i>
    <i r="2">
      <x v="71"/>
    </i>
    <i t="blank">
      <x v="35"/>
    </i>
    <i>
      <x v="36"/>
    </i>
    <i r="1">
      <x/>
      <x v="11"/>
    </i>
    <i r="1">
      <x v="1"/>
      <x/>
    </i>
    <i r="1">
      <x v="2"/>
      <x v="78"/>
    </i>
    <i r="1">
      <x v="3"/>
      <x v="2"/>
    </i>
    <i r="1">
      <x v="4"/>
      <x v="77"/>
    </i>
    <i r="1">
      <x v="5"/>
      <x v="83"/>
    </i>
    <i r="1">
      <x v="6"/>
      <x v="8"/>
    </i>
    <i r="1">
      <x v="7"/>
      <x v="74"/>
    </i>
    <i r="1">
      <x v="8"/>
      <x v="56"/>
    </i>
    <i r="2">
      <x v="61"/>
    </i>
    <i r="1">
      <x v="10"/>
      <x v="5"/>
    </i>
    <i r="1">
      <x v="11"/>
      <x v="50"/>
    </i>
    <i r="1">
      <x v="12"/>
      <x v="1"/>
    </i>
    <i r="1">
      <x v="13"/>
      <x v="4"/>
    </i>
    <i r="1">
      <x v="14"/>
      <x v="85"/>
    </i>
    <i r="1">
      <x v="15"/>
      <x v="49"/>
    </i>
    <i r="1">
      <x v="16"/>
      <x v="54"/>
    </i>
    <i r="1">
      <x v="17"/>
      <x v="55"/>
    </i>
    <i r="1">
      <x v="18"/>
      <x v="44"/>
    </i>
    <i r="1">
      <x v="19"/>
      <x v="9"/>
    </i>
    <i r="2">
      <x v="47"/>
    </i>
    <i t="blank">
      <x v="36"/>
    </i>
    <i>
      <x v="37"/>
    </i>
    <i r="1">
      <x/>
      <x v="78"/>
    </i>
    <i r="1">
      <x v="1"/>
      <x/>
    </i>
    <i r="1">
      <x v="2"/>
      <x v="50"/>
    </i>
    <i r="2">
      <x v="61"/>
    </i>
    <i r="2">
      <x v="74"/>
    </i>
    <i r="1">
      <x v="5"/>
      <x v="77"/>
    </i>
    <i r="1">
      <x v="6"/>
      <x v="1"/>
    </i>
    <i r="1">
      <x v="7"/>
      <x v="2"/>
    </i>
    <i r="2">
      <x v="36"/>
    </i>
    <i r="2">
      <x v="56"/>
    </i>
    <i r="1">
      <x v="10"/>
      <x v="72"/>
    </i>
    <i r="1">
      <x v="11"/>
      <x v="70"/>
    </i>
    <i r="1">
      <x v="12"/>
      <x v="48"/>
    </i>
    <i r="2">
      <x v="86"/>
    </i>
    <i r="1">
      <x v="14"/>
      <x v="43"/>
    </i>
    <i r="1">
      <x v="15"/>
      <x v="8"/>
    </i>
    <i r="2">
      <x v="71"/>
    </i>
    <i r="1">
      <x v="17"/>
      <x v="83"/>
    </i>
    <i r="1">
      <x v="18"/>
      <x v="41"/>
    </i>
    <i r="2">
      <x v="73"/>
    </i>
    <i t="blank">
      <x v="37"/>
    </i>
    <i>
      <x v="38"/>
    </i>
    <i r="1">
      <x/>
      <x v="11"/>
    </i>
    <i r="1">
      <x v="1"/>
      <x v="23"/>
    </i>
    <i r="1">
      <x v="2"/>
      <x v="78"/>
    </i>
    <i r="1">
      <x v="3"/>
      <x/>
    </i>
    <i r="1">
      <x v="4"/>
      <x v="83"/>
    </i>
    <i r="1">
      <x v="5"/>
      <x v="56"/>
    </i>
    <i r="1">
      <x v="6"/>
      <x v="61"/>
    </i>
    <i r="1">
      <x v="7"/>
      <x v="77"/>
    </i>
    <i r="1">
      <x v="8"/>
      <x v="74"/>
    </i>
    <i r="1">
      <x v="9"/>
      <x v="50"/>
    </i>
    <i r="1">
      <x v="10"/>
      <x v="2"/>
    </i>
    <i r="1">
      <x v="11"/>
      <x v="49"/>
    </i>
    <i r="1">
      <x v="12"/>
      <x v="8"/>
    </i>
    <i r="2">
      <x v="54"/>
    </i>
    <i r="1">
      <x v="14"/>
      <x v="1"/>
    </i>
    <i r="1">
      <x v="15"/>
      <x v="76"/>
    </i>
    <i r="2">
      <x v="82"/>
    </i>
    <i r="1">
      <x v="17"/>
      <x v="9"/>
    </i>
    <i r="2">
      <x v="30"/>
    </i>
    <i r="1">
      <x v="19"/>
      <x v="51"/>
    </i>
    <i t="blank">
      <x v="38"/>
    </i>
    <i>
      <x v="39"/>
    </i>
    <i r="1">
      <x/>
      <x/>
    </i>
    <i r="1">
      <x v="1"/>
      <x v="78"/>
    </i>
    <i r="1">
      <x v="2"/>
      <x v="83"/>
    </i>
    <i r="1">
      <x v="3"/>
      <x v="9"/>
    </i>
    <i r="2">
      <x v="56"/>
    </i>
    <i r="1">
      <x v="5"/>
      <x v="3"/>
    </i>
    <i r="2">
      <x v="50"/>
    </i>
    <i r="2">
      <x v="74"/>
    </i>
    <i r="2">
      <x v="77"/>
    </i>
    <i r="1">
      <x v="9"/>
      <x v="8"/>
    </i>
    <i r="2">
      <x v="47"/>
    </i>
    <i r="2">
      <x v="48"/>
    </i>
    <i r="2">
      <x v="86"/>
    </i>
    <i r="1">
      <x v="13"/>
      <x v="42"/>
    </i>
    <i r="2">
      <x v="67"/>
    </i>
    <i r="2">
      <x v="71"/>
    </i>
    <i r="1">
      <x v="16"/>
      <x v="1"/>
    </i>
    <i r="2">
      <x v="4"/>
    </i>
    <i r="2">
      <x v="7"/>
    </i>
    <i r="2">
      <x v="58"/>
    </i>
    <i r="2">
      <x v="68"/>
    </i>
    <i r="2">
      <x v="70"/>
    </i>
    <i r="2">
      <x v="76"/>
    </i>
    <i r="2">
      <x v="81"/>
    </i>
    <i r="2">
      <x v="85"/>
    </i>
    <i t="blank">
      <x v="39"/>
    </i>
    <i>
      <x v="40"/>
    </i>
    <i r="1">
      <x/>
      <x v="13"/>
    </i>
    <i r="1">
      <x v="1"/>
      <x v="16"/>
    </i>
    <i r="1">
      <x v="2"/>
      <x v="14"/>
    </i>
    <i r="1">
      <x v="3"/>
      <x v="2"/>
    </i>
    <i r="2">
      <x v="78"/>
    </i>
    <i r="1">
      <x v="5"/>
      <x v="8"/>
    </i>
    <i r="1">
      <x v="6"/>
      <x v="77"/>
    </i>
    <i r="1">
      <x v="7"/>
      <x/>
    </i>
    <i r="2">
      <x v="4"/>
    </i>
    <i r="2">
      <x v="12"/>
    </i>
    <i r="2">
      <x v="50"/>
    </i>
    <i r="1">
      <x v="11"/>
      <x v="74"/>
    </i>
    <i r="1">
      <x v="12"/>
      <x v="56"/>
    </i>
    <i r="1">
      <x v="13"/>
      <x v="15"/>
    </i>
    <i r="1">
      <x v="14"/>
      <x v="1"/>
    </i>
    <i r="2">
      <x v="51"/>
    </i>
    <i r="1">
      <x v="16"/>
      <x v="86"/>
    </i>
    <i r="1">
      <x v="17"/>
      <x v="30"/>
    </i>
    <i r="2">
      <x v="49"/>
    </i>
    <i r="2">
      <x v="68"/>
    </i>
    <i t="blank">
      <x v="40"/>
    </i>
    <i>
      <x v="41"/>
    </i>
    <i r="1">
      <x/>
      <x v="30"/>
    </i>
    <i r="1">
      <x v="1"/>
      <x v="78"/>
    </i>
    <i r="1">
      <x v="2"/>
      <x v="50"/>
    </i>
    <i r="1">
      <x v="3"/>
      <x/>
    </i>
    <i r="2">
      <x v="86"/>
    </i>
    <i r="1">
      <x v="5"/>
      <x v="74"/>
    </i>
    <i r="2">
      <x v="83"/>
    </i>
    <i r="1">
      <x v="7"/>
      <x v="2"/>
    </i>
    <i r="1">
      <x v="8"/>
      <x v="3"/>
    </i>
    <i r="2">
      <x v="68"/>
    </i>
    <i r="2">
      <x v="77"/>
    </i>
    <i r="1">
      <x v="11"/>
      <x v="9"/>
    </i>
    <i r="2">
      <x v="41"/>
    </i>
    <i r="1">
      <x v="13"/>
      <x v="8"/>
    </i>
    <i r="2">
      <x v="56"/>
    </i>
    <i r="2">
      <x v="61"/>
    </i>
    <i r="1">
      <x v="16"/>
      <x v="33"/>
    </i>
    <i r="2">
      <x v="60"/>
    </i>
    <i r="1">
      <x v="18"/>
      <x v="76"/>
    </i>
    <i r="2">
      <x v="85"/>
    </i>
    <i t="blank">
      <x v="41"/>
    </i>
    <i>
      <x v="42"/>
    </i>
    <i r="1">
      <x/>
      <x v="78"/>
    </i>
    <i r="1">
      <x v="1"/>
      <x v="74"/>
    </i>
    <i r="1">
      <x v="2"/>
      <x/>
    </i>
    <i r="1">
      <x v="3"/>
      <x v="77"/>
    </i>
    <i r="1">
      <x v="4"/>
      <x v="72"/>
    </i>
    <i r="2">
      <x v="83"/>
    </i>
    <i r="1">
      <x v="6"/>
      <x v="61"/>
    </i>
    <i r="1">
      <x v="7"/>
      <x v="56"/>
    </i>
    <i r="1">
      <x v="8"/>
      <x v="82"/>
    </i>
    <i r="1">
      <x v="9"/>
      <x v="50"/>
    </i>
    <i r="2">
      <x v="85"/>
    </i>
    <i r="1">
      <x v="11"/>
      <x v="73"/>
    </i>
    <i r="2">
      <x v="80"/>
    </i>
    <i r="1">
      <x v="13"/>
      <x v="76"/>
    </i>
    <i r="1">
      <x v="14"/>
      <x v="79"/>
    </i>
    <i r="1">
      <x v="15"/>
      <x v="54"/>
    </i>
    <i r="2">
      <x v="59"/>
    </i>
    <i r="2">
      <x v="62"/>
    </i>
    <i r="2">
      <x v="75"/>
    </i>
    <i r="1">
      <x v="19"/>
      <x v="71"/>
    </i>
    <i t="blank">
      <x v="42"/>
    </i>
    <i>
      <x v="43"/>
    </i>
    <i r="1">
      <x/>
      <x/>
    </i>
    <i r="1">
      <x v="1"/>
      <x v="78"/>
    </i>
    <i r="1">
      <x v="2"/>
      <x v="36"/>
    </i>
    <i r="1">
      <x v="3"/>
      <x v="2"/>
    </i>
    <i r="1">
      <x v="4"/>
      <x v="77"/>
    </i>
    <i r="1">
      <x v="5"/>
      <x v="56"/>
    </i>
    <i r="2">
      <x v="74"/>
    </i>
    <i r="1">
      <x v="7"/>
      <x v="1"/>
    </i>
    <i r="2">
      <x v="4"/>
    </i>
    <i r="2">
      <x v="8"/>
    </i>
    <i r="2">
      <x v="35"/>
    </i>
    <i r="2">
      <x v="86"/>
    </i>
    <i r="1">
      <x v="12"/>
      <x v="5"/>
    </i>
    <i r="1">
      <x v="13"/>
      <x v="30"/>
    </i>
    <i r="2">
      <x v="54"/>
    </i>
    <i r="2">
      <x v="55"/>
    </i>
    <i r="2">
      <x v="82"/>
    </i>
    <i r="1">
      <x v="17"/>
      <x v="28"/>
    </i>
    <i r="2">
      <x v="50"/>
    </i>
    <i r="1">
      <x v="19"/>
      <x v="17"/>
    </i>
    <i r="2">
      <x v="20"/>
    </i>
    <i r="2">
      <x v="21"/>
    </i>
    <i r="2">
      <x v="47"/>
    </i>
    <i r="2">
      <x v="51"/>
    </i>
    <i r="2">
      <x v="76"/>
    </i>
    <i r="2">
      <x v="85"/>
    </i>
    <i t="blank">
      <x v="43"/>
    </i>
    <i>
      <x v="44"/>
    </i>
    <i r="1">
      <x/>
      <x v="78"/>
    </i>
    <i r="1">
      <x v="1"/>
      <x/>
    </i>
    <i r="1">
      <x v="2"/>
      <x v="83"/>
    </i>
    <i r="1">
      <x v="3"/>
      <x v="62"/>
    </i>
    <i r="2">
      <x v="77"/>
    </i>
    <i r="1">
      <x v="5"/>
      <x v="50"/>
    </i>
    <i r="2">
      <x v="56"/>
    </i>
    <i r="1">
      <x v="7"/>
      <x v="57"/>
    </i>
    <i r="1">
      <x v="8"/>
      <x v="74"/>
    </i>
    <i r="1">
      <x v="9"/>
      <x v="1"/>
    </i>
    <i r="2">
      <x v="60"/>
    </i>
    <i r="1">
      <x v="11"/>
      <x v="61"/>
    </i>
    <i r="2">
      <x v="86"/>
    </i>
    <i r="1">
      <x v="13"/>
      <x v="2"/>
    </i>
    <i r="2">
      <x v="35"/>
    </i>
    <i r="2">
      <x v="68"/>
    </i>
    <i r="2">
      <x v="76"/>
    </i>
    <i r="2">
      <x v="82"/>
    </i>
    <i r="1">
      <x v="18"/>
      <x v="54"/>
    </i>
    <i r="2">
      <x v="71"/>
    </i>
    <i t="blank">
      <x v="44"/>
    </i>
    <i>
      <x v="45"/>
    </i>
    <i r="1">
      <x/>
      <x/>
    </i>
    <i r="1">
      <x v="1"/>
      <x v="74"/>
    </i>
    <i r="2">
      <x v="86"/>
    </i>
    <i r="1">
      <x v="3"/>
      <x v="4"/>
    </i>
    <i r="2">
      <x v="83"/>
    </i>
    <i r="1">
      <x v="5"/>
      <x v="78"/>
    </i>
    <i r="1">
      <x v="6"/>
      <x v="77"/>
    </i>
    <i r="1">
      <x v="7"/>
      <x v="5"/>
    </i>
    <i r="2">
      <x v="49"/>
    </i>
    <i r="2">
      <x v="71"/>
    </i>
    <i r="1">
      <x v="10"/>
      <x v="56"/>
    </i>
    <i r="1">
      <x v="11"/>
      <x v="50"/>
    </i>
    <i r="1">
      <x v="12"/>
      <x v="8"/>
    </i>
    <i r="2">
      <x v="17"/>
    </i>
    <i r="1">
      <x v="14"/>
      <x v="9"/>
    </i>
    <i r="2">
      <x v="68"/>
    </i>
    <i r="2">
      <x v="70"/>
    </i>
    <i r="1">
      <x v="17"/>
      <x v="2"/>
    </i>
    <i r="2">
      <x v="44"/>
    </i>
    <i r="2">
      <x v="47"/>
    </i>
    <i r="2">
      <x v="48"/>
    </i>
    <i r="2">
      <x v="76"/>
    </i>
    <i t="blank">
      <x v="45"/>
    </i>
    <i>
      <x v="46"/>
    </i>
    <i r="1">
      <x/>
      <x v="78"/>
    </i>
    <i r="1">
      <x v="1"/>
      <x v="83"/>
    </i>
    <i r="1">
      <x v="2"/>
      <x v="61"/>
    </i>
    <i r="1">
      <x v="3"/>
      <x/>
    </i>
    <i r="2">
      <x v="74"/>
    </i>
    <i r="1">
      <x v="5"/>
      <x v="9"/>
    </i>
    <i r="1">
      <x v="6"/>
      <x v="50"/>
    </i>
    <i r="1">
      <x v="7"/>
      <x v="77"/>
    </i>
    <i r="1">
      <x v="8"/>
      <x v="56"/>
    </i>
    <i r="1">
      <x v="9"/>
      <x v="82"/>
    </i>
    <i r="1">
      <x v="10"/>
      <x v="8"/>
    </i>
    <i r="2">
      <x v="85"/>
    </i>
    <i r="1">
      <x v="12"/>
      <x v="2"/>
    </i>
    <i r="1">
      <x v="13"/>
      <x v="1"/>
    </i>
    <i r="1">
      <x v="14"/>
      <x v="47"/>
    </i>
    <i r="2">
      <x v="73"/>
    </i>
    <i r="1">
      <x v="16"/>
      <x v="60"/>
    </i>
    <i r="2">
      <x v="72"/>
    </i>
    <i r="2">
      <x v="86"/>
    </i>
    <i r="1">
      <x v="19"/>
      <x v="71"/>
    </i>
    <i t="blank">
      <x v="46"/>
    </i>
    <i>
      <x v="47"/>
    </i>
    <i r="1">
      <x/>
      <x/>
    </i>
    <i r="1">
      <x v="1"/>
      <x v="74"/>
    </i>
    <i r="1">
      <x v="2"/>
      <x v="62"/>
    </i>
    <i r="2">
      <x v="78"/>
    </i>
    <i r="1">
      <x v="4"/>
      <x v="8"/>
    </i>
    <i r="2">
      <x v="56"/>
    </i>
    <i r="2">
      <x v="77"/>
    </i>
    <i r="1">
      <x v="7"/>
      <x v="61"/>
    </i>
    <i r="2">
      <x v="82"/>
    </i>
    <i r="2">
      <x v="83"/>
    </i>
    <i r="1">
      <x v="10"/>
      <x v="76"/>
    </i>
    <i r="2">
      <x v="85"/>
    </i>
    <i r="1">
      <x v="12"/>
      <x v="1"/>
    </i>
    <i r="2">
      <x v="2"/>
    </i>
    <i r="2">
      <x v="47"/>
    </i>
    <i r="2">
      <x v="49"/>
    </i>
    <i r="1">
      <x v="16"/>
      <x v="9"/>
    </i>
    <i r="2">
      <x v="50"/>
    </i>
    <i r="2">
      <x v="75"/>
    </i>
    <i r="2">
      <x v="80"/>
    </i>
    <i t="blank">
      <x v="47"/>
    </i>
    <i>
      <x v="48"/>
    </i>
    <i r="1">
      <x/>
      <x/>
    </i>
    <i r="1">
      <x v="1"/>
      <x v="78"/>
    </i>
    <i r="1">
      <x v="2"/>
      <x v="77"/>
    </i>
    <i r="1">
      <x v="3"/>
      <x v="2"/>
    </i>
    <i r="1">
      <x v="4"/>
      <x v="74"/>
    </i>
    <i r="1">
      <x v="5"/>
      <x v="8"/>
    </i>
    <i r="2">
      <x v="50"/>
    </i>
    <i r="1">
      <x v="7"/>
      <x v="56"/>
    </i>
    <i r="2">
      <x v="86"/>
    </i>
    <i r="1">
      <x v="9"/>
      <x v="11"/>
    </i>
    <i r="1">
      <x v="10"/>
      <x v="47"/>
    </i>
    <i r="2">
      <x v="58"/>
    </i>
    <i r="2">
      <x v="71"/>
    </i>
    <i r="1">
      <x v="13"/>
      <x v="1"/>
    </i>
    <i r="2">
      <x v="6"/>
    </i>
    <i r="2">
      <x v="9"/>
    </i>
    <i r="1">
      <x v="16"/>
      <x v="49"/>
    </i>
    <i r="2">
      <x v="51"/>
    </i>
    <i r="2">
      <x v="68"/>
    </i>
    <i r="2">
      <x v="70"/>
    </i>
    <i r="2">
      <x v="83"/>
    </i>
    <i t="blank">
      <x v="48"/>
    </i>
    <i>
      <x v="49"/>
    </i>
    <i r="1">
      <x/>
      <x v="69"/>
    </i>
    <i r="1">
      <x v="1"/>
      <x v="10"/>
    </i>
    <i r="1">
      <x v="2"/>
      <x v="78"/>
    </i>
    <i r="1">
      <x v="3"/>
      <x v="2"/>
    </i>
    <i r="1">
      <x v="4"/>
      <x v="77"/>
    </i>
    <i r="1">
      <x v="5"/>
      <x v="46"/>
    </i>
    <i r="1">
      <x v="6"/>
      <x v="47"/>
    </i>
    <i r="1">
      <x v="7"/>
      <x v="83"/>
    </i>
    <i r="1">
      <x v="8"/>
      <x v="56"/>
    </i>
    <i r="1">
      <x v="9"/>
      <x/>
    </i>
    <i r="2">
      <x v="55"/>
    </i>
    <i r="1">
      <x v="11"/>
      <x v="49"/>
    </i>
    <i r="1">
      <x v="12"/>
      <x v="8"/>
    </i>
    <i r="2">
      <x v="70"/>
    </i>
    <i r="1">
      <x v="14"/>
      <x v="1"/>
    </i>
    <i r="2">
      <x v="54"/>
    </i>
    <i r="1">
      <x v="16"/>
      <x v="85"/>
    </i>
    <i r="1">
      <x v="17"/>
      <x v="50"/>
    </i>
    <i r="2">
      <x v="51"/>
    </i>
    <i r="2">
      <x v="82"/>
    </i>
    <i t="blank">
      <x v="49"/>
    </i>
    <i>
      <x v="50"/>
    </i>
    <i r="1">
      <x/>
      <x/>
    </i>
    <i r="1">
      <x v="1"/>
      <x v="78"/>
    </i>
    <i r="1">
      <x v="2"/>
      <x v="77"/>
    </i>
    <i r="1">
      <x v="3"/>
      <x v="69"/>
    </i>
    <i r="1">
      <x v="4"/>
      <x v="2"/>
    </i>
    <i r="1">
      <x v="5"/>
      <x v="56"/>
    </i>
    <i r="2">
      <x v="74"/>
    </i>
    <i r="1">
      <x v="7"/>
      <x v="54"/>
    </i>
    <i r="2">
      <x v="72"/>
    </i>
    <i r="1">
      <x v="9"/>
      <x v="5"/>
    </i>
    <i r="1">
      <x v="10"/>
      <x v="8"/>
    </i>
    <i r="2">
      <x v="48"/>
    </i>
    <i r="2">
      <x v="50"/>
    </i>
    <i r="2">
      <x v="71"/>
    </i>
    <i r="2">
      <x v="86"/>
    </i>
    <i r="1">
      <x v="15"/>
      <x v="55"/>
    </i>
    <i r="1">
      <x v="16"/>
      <x v="4"/>
    </i>
    <i r="2">
      <x v="10"/>
    </i>
    <i r="2">
      <x v="46"/>
    </i>
    <i r="2">
      <x v="49"/>
    </i>
    <i r="2">
      <x v="52"/>
    </i>
    <i r="2">
      <x v="73"/>
    </i>
    <i t="blank">
      <x v="50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732">
      <pivotArea field="5" type="button" dataOnly="0" labelOnly="1" outline="0" axis="axisRow" fieldPosition="0"/>
    </format>
    <format dxfId="731">
      <pivotArea outline="0" fieldPosition="0">
        <references count="1">
          <reference field="4294967294" count="1">
            <x v="0"/>
          </reference>
        </references>
      </pivotArea>
    </format>
    <format dxfId="730">
      <pivotArea outline="0" fieldPosition="0">
        <references count="1">
          <reference field="4294967294" count="1">
            <x v="1"/>
          </reference>
        </references>
      </pivotArea>
    </format>
    <format dxfId="729">
      <pivotArea outline="0" fieldPosition="0">
        <references count="1">
          <reference field="4294967294" count="1">
            <x v="2"/>
          </reference>
        </references>
      </pivotArea>
    </format>
    <format dxfId="728">
      <pivotArea outline="0" fieldPosition="0">
        <references count="1">
          <reference field="4294967294" count="1">
            <x v="3"/>
          </reference>
        </references>
      </pivotArea>
    </format>
    <format dxfId="727">
      <pivotArea outline="0" fieldPosition="0">
        <references count="1">
          <reference field="4294967294" count="1">
            <x v="4"/>
          </reference>
        </references>
      </pivotArea>
    </format>
    <format dxfId="726">
      <pivotArea outline="0" fieldPosition="0">
        <references count="1">
          <reference field="4294967294" count="1">
            <x v="5"/>
          </reference>
        </references>
      </pivotArea>
    </format>
    <format dxfId="725">
      <pivotArea outline="0" fieldPosition="0">
        <references count="1">
          <reference field="4294967294" count="1">
            <x v="6"/>
          </reference>
        </references>
      </pivotArea>
    </format>
    <format dxfId="724">
      <pivotArea field="5" type="button" dataOnly="0" labelOnly="1" outline="0" axis="axisRow" fieldPosition="0"/>
    </format>
    <format dxfId="72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22">
      <pivotArea field="5" type="button" dataOnly="0" labelOnly="1" outline="0" axis="axisRow" fieldPosition="0"/>
    </format>
    <format dxfId="72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20">
      <pivotArea field="5" type="button" dataOnly="0" labelOnly="1" outline="0" axis="axisRow" fieldPosition="0"/>
    </format>
    <format dxfId="71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18">
      <pivotArea field="5" type="button" dataOnly="0" labelOnly="1" outline="0" axis="axisRow" fieldPosition="0"/>
    </format>
    <format dxfId="71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1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1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714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LTBL_28000" displayName="LTBL_28000" ref="B4:I20" totalsRowCount="1">
  <autoFilter ref="B4:I19"/>
  <tableColumns count="8">
    <tableColumn id="9" name="産業大分類" totalsRowLabel="合計" totalsRowDxfId="713"/>
    <tableColumn id="10" name="総数／事業所数" totalsRowFunction="custom" totalsRowDxfId="712" dataCellStyle="桁区切り">
      <totalsRowFormula>SUM(LTBL_28000[総数／事業所数])</totalsRowFormula>
    </tableColumn>
    <tableColumn id="11" name="総数／構成比" dataDxfId="711"/>
    <tableColumn id="12" name="個人／事業所数" totalsRowFunction="sum" totalsRowDxfId="710" dataCellStyle="桁区切り"/>
    <tableColumn id="13" name="個人／構成比" dataDxfId="709"/>
    <tableColumn id="14" name="法人／事業所数" totalsRowFunction="sum" totalsRowDxfId="708" dataCellStyle="桁区切り"/>
    <tableColumn id="15" name="法人／構成比" dataDxfId="707"/>
    <tableColumn id="16" name="法人以外の団体／事業所数" totalsRowFunction="sum" totalsRowDxfId="706" data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LABTBL_28101" displayName="LABTBL_281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0.xml><?xml version="1.0" encoding="utf-8"?>
<table xmlns="http://schemas.openxmlformats.org/spreadsheetml/2006/main" id="100" name="S_TABLE_ti.28215" displayName="S_TABLE_ti.28215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366"/>
    <tableColumn id="12" name="個人／事業所数" dataCellStyle="桁区切り"/>
    <tableColumn id="13" name="個人／構成比" dataDxfId="365"/>
    <tableColumn id="14" name="法人／事業所数" dataCellStyle="桁区切り"/>
    <tableColumn id="15" name="法人／構成比" dataDxfId="36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id="101" name="LTBL_28216" displayName="LTBL_28216" ref="B4:I20" totalsRowCount="1">
  <autoFilter ref="B4:I19"/>
  <tableColumns count="8">
    <tableColumn id="9" name="産業大分類" totalsRowLabel="合計" totalsRowDxfId="363"/>
    <tableColumn id="10" name="総数／事業所数" totalsRowFunction="custom" totalsRowDxfId="362" dataCellStyle="桁区切り">
      <totalsRowFormula>SUM(LTBL_28216[総数／事業所数])</totalsRowFormula>
    </tableColumn>
    <tableColumn id="11" name="総数／構成比" dataDxfId="361"/>
    <tableColumn id="12" name="個人／事業所数" totalsRowFunction="sum" totalsRowDxfId="360" dataCellStyle="桁区切り"/>
    <tableColumn id="13" name="個人／構成比" dataDxfId="359"/>
    <tableColumn id="14" name="法人／事業所数" totalsRowFunction="sum" totalsRowDxfId="358" dataCellStyle="桁区切り"/>
    <tableColumn id="15" name="法人／構成比" dataDxfId="357"/>
    <tableColumn id="16" name="法人以外の団体／事業所数" totalsRowFunction="sum" totalsRowDxfId="356" dataCellStyle="桁区切り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id="102" name="LABTBL_28216" displayName="LABTBL_2821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3.xml><?xml version="1.0" encoding="utf-8"?>
<table xmlns="http://schemas.openxmlformats.org/spreadsheetml/2006/main" id="103" name="M_TABLE_ti.28216" displayName="M_TABLE_ti.28216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355"/>
    <tableColumn id="12" name="個人／事業所数" dataCellStyle="桁区切り"/>
    <tableColumn id="13" name="個人／構成比" dataDxfId="354"/>
    <tableColumn id="14" name="法人／事業所数" dataCellStyle="桁区切り"/>
    <tableColumn id="15" name="法人／構成比" dataDxfId="35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4.xml><?xml version="1.0" encoding="utf-8"?>
<table xmlns="http://schemas.openxmlformats.org/spreadsheetml/2006/main" id="104" name="S_TABLE_ti.28216" displayName="S_TABLE_ti.28216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352"/>
    <tableColumn id="12" name="個人／事業所数" dataCellStyle="桁区切り"/>
    <tableColumn id="13" name="個人／構成比" dataDxfId="351"/>
    <tableColumn id="14" name="法人／事業所数" dataCellStyle="桁区切り"/>
    <tableColumn id="15" name="法人／構成比" dataDxfId="35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id="105" name="LTBL_28217" displayName="LTBL_28217" ref="B4:I20" totalsRowCount="1">
  <autoFilter ref="B4:I19"/>
  <tableColumns count="8">
    <tableColumn id="9" name="産業大分類" totalsRowLabel="合計" totalsRowDxfId="349"/>
    <tableColumn id="10" name="総数／事業所数" totalsRowFunction="custom" totalsRowDxfId="348" dataCellStyle="桁区切り">
      <totalsRowFormula>SUM(LTBL_28217[総数／事業所数])</totalsRowFormula>
    </tableColumn>
    <tableColumn id="11" name="総数／構成比" dataDxfId="347"/>
    <tableColumn id="12" name="個人／事業所数" totalsRowFunction="sum" totalsRowDxfId="346" dataCellStyle="桁区切り"/>
    <tableColumn id="13" name="個人／構成比" dataDxfId="345"/>
    <tableColumn id="14" name="法人／事業所数" totalsRowFunction="sum" totalsRowDxfId="344" dataCellStyle="桁区切り"/>
    <tableColumn id="15" name="法人／構成比" dataDxfId="343"/>
    <tableColumn id="16" name="法人以外の団体／事業所数" totalsRowFunction="sum" totalsRowDxfId="342" dataCellStyle="桁区切り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id="106" name="LABTBL_28217" displayName="LABTBL_2821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7.xml><?xml version="1.0" encoding="utf-8"?>
<table xmlns="http://schemas.openxmlformats.org/spreadsheetml/2006/main" id="107" name="M_TABLE_ti.28217" displayName="M_TABLE_ti.28217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341"/>
    <tableColumn id="12" name="個人／事業所数" dataCellStyle="桁区切り"/>
    <tableColumn id="13" name="個人／構成比" dataDxfId="340"/>
    <tableColumn id="14" name="法人／事業所数" dataCellStyle="桁区切り"/>
    <tableColumn id="15" name="法人／構成比" dataDxfId="33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id="108" name="S_TABLE_ti.28217" displayName="S_TABLE_ti.28217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338"/>
    <tableColumn id="12" name="個人／事業所数" dataCellStyle="桁区切り"/>
    <tableColumn id="13" name="個人／構成比" dataDxfId="337"/>
    <tableColumn id="14" name="法人／事業所数" dataCellStyle="桁区切り"/>
    <tableColumn id="15" name="法人／構成比" dataDxfId="33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9.xml><?xml version="1.0" encoding="utf-8"?>
<table xmlns="http://schemas.openxmlformats.org/spreadsheetml/2006/main" id="109" name="LTBL_28218" displayName="LTBL_28218" ref="B4:I20" totalsRowCount="1">
  <autoFilter ref="B4:I19"/>
  <tableColumns count="8">
    <tableColumn id="9" name="産業大分類" totalsRowLabel="合計" totalsRowDxfId="335"/>
    <tableColumn id="10" name="総数／事業所数" totalsRowFunction="custom" totalsRowDxfId="334" dataCellStyle="桁区切り">
      <totalsRowFormula>SUM(LTBL_28218[総数／事業所数])</totalsRowFormula>
    </tableColumn>
    <tableColumn id="11" name="総数／構成比" dataDxfId="333"/>
    <tableColumn id="12" name="個人／事業所数" totalsRowFunction="sum" totalsRowDxfId="332" dataCellStyle="桁区切り"/>
    <tableColumn id="13" name="個人／構成比" dataDxfId="331"/>
    <tableColumn id="14" name="法人／事業所数" totalsRowFunction="sum" totalsRowDxfId="330" dataCellStyle="桁区切り"/>
    <tableColumn id="15" name="法人／構成比" dataDxfId="329"/>
    <tableColumn id="16" name="法人以外の団体／事業所数" totalsRowFunction="sum" totalsRowDxfId="328" data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M_TABLE_ti.28101" displayName="M_TABLE_ti.2810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77"/>
    <tableColumn id="12" name="個人／事業所数" dataCellStyle="桁区切り"/>
    <tableColumn id="13" name="個人／構成比" dataDxfId="676"/>
    <tableColumn id="14" name="法人／事業所数" dataCellStyle="桁区切り"/>
    <tableColumn id="15" name="法人／構成比" dataDxfId="67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0.xml><?xml version="1.0" encoding="utf-8"?>
<table xmlns="http://schemas.openxmlformats.org/spreadsheetml/2006/main" id="110" name="LABTBL_28218" displayName="LABTBL_2821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1.xml><?xml version="1.0" encoding="utf-8"?>
<table xmlns="http://schemas.openxmlformats.org/spreadsheetml/2006/main" id="111" name="M_TABLE_ti.28218" displayName="M_TABLE_ti.2821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27"/>
    <tableColumn id="12" name="個人／事業所数" dataCellStyle="桁区切り"/>
    <tableColumn id="13" name="個人／構成比" dataDxfId="326"/>
    <tableColumn id="14" name="法人／事業所数" dataCellStyle="桁区切り"/>
    <tableColumn id="15" name="法人／構成比" dataDxfId="32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2.xml><?xml version="1.0" encoding="utf-8"?>
<table xmlns="http://schemas.openxmlformats.org/spreadsheetml/2006/main" id="112" name="S_TABLE_ti.28218" displayName="S_TABLE_ti.28218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324"/>
    <tableColumn id="12" name="個人／事業所数" dataCellStyle="桁区切り"/>
    <tableColumn id="13" name="個人／構成比" dataDxfId="323"/>
    <tableColumn id="14" name="法人／事業所数" dataCellStyle="桁区切り"/>
    <tableColumn id="15" name="法人／構成比" dataDxfId="32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3.xml><?xml version="1.0" encoding="utf-8"?>
<table xmlns="http://schemas.openxmlformats.org/spreadsheetml/2006/main" id="113" name="LTBL_28219" displayName="LTBL_28219" ref="B4:I20" totalsRowCount="1">
  <autoFilter ref="B4:I19"/>
  <tableColumns count="8">
    <tableColumn id="9" name="産業大分類" totalsRowLabel="合計" totalsRowDxfId="321"/>
    <tableColumn id="10" name="総数／事業所数" totalsRowFunction="custom" totalsRowDxfId="320" dataCellStyle="桁区切り">
      <totalsRowFormula>SUM(LTBL_28219[総数／事業所数])</totalsRowFormula>
    </tableColumn>
    <tableColumn id="11" name="総数／構成比" dataDxfId="319"/>
    <tableColumn id="12" name="個人／事業所数" totalsRowFunction="sum" totalsRowDxfId="318" dataCellStyle="桁区切り"/>
    <tableColumn id="13" name="個人／構成比" dataDxfId="317"/>
    <tableColumn id="14" name="法人／事業所数" totalsRowFunction="sum" totalsRowDxfId="316" dataCellStyle="桁区切り"/>
    <tableColumn id="15" name="法人／構成比" dataDxfId="315"/>
    <tableColumn id="16" name="法人以外の団体／事業所数" totalsRowFunction="sum" totalsRowDxfId="314" dataCellStyle="桁区切り"/>
  </tableColumns>
  <tableStyleInfo name="TableStyleMedium9" showFirstColumn="0" showLastColumn="0" showRowStripes="1" showColumnStripes="0"/>
</table>
</file>

<file path=xl/tables/table114.xml><?xml version="1.0" encoding="utf-8"?>
<table xmlns="http://schemas.openxmlformats.org/spreadsheetml/2006/main" id="114" name="LABTBL_28219" displayName="LABTBL_2821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5.xml><?xml version="1.0" encoding="utf-8"?>
<table xmlns="http://schemas.openxmlformats.org/spreadsheetml/2006/main" id="115" name="M_TABLE_ti.28219" displayName="M_TABLE_ti.28219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313"/>
    <tableColumn id="12" name="個人／事業所数" dataCellStyle="桁区切り"/>
    <tableColumn id="13" name="個人／構成比" dataDxfId="312"/>
    <tableColumn id="14" name="法人／事業所数" dataCellStyle="桁区切り"/>
    <tableColumn id="15" name="法人／構成比" dataDxfId="31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6.xml><?xml version="1.0" encoding="utf-8"?>
<table xmlns="http://schemas.openxmlformats.org/spreadsheetml/2006/main" id="116" name="S_TABLE_ti.28219" displayName="S_TABLE_ti.28219" ref="B52:I74" totalsRowShown="0">
  <autoFilter ref="B52:I74"/>
  <tableColumns count="8">
    <tableColumn id="9" name="産業小分類上位２０"/>
    <tableColumn id="10" name="総数／事業所数" dataCellStyle="桁区切り"/>
    <tableColumn id="11" name="総数／構成比" dataDxfId="310"/>
    <tableColumn id="12" name="個人／事業所数" dataCellStyle="桁区切り"/>
    <tableColumn id="13" name="個人／構成比" dataDxfId="309"/>
    <tableColumn id="14" name="法人／事業所数" dataCellStyle="桁区切り"/>
    <tableColumn id="15" name="法人／構成比" dataDxfId="30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7.xml><?xml version="1.0" encoding="utf-8"?>
<table xmlns="http://schemas.openxmlformats.org/spreadsheetml/2006/main" id="117" name="LTBL_28220" displayName="LTBL_28220" ref="B4:I20" totalsRowCount="1">
  <autoFilter ref="B4:I19"/>
  <tableColumns count="8">
    <tableColumn id="9" name="産業大分類" totalsRowLabel="合計" totalsRowDxfId="307"/>
    <tableColumn id="10" name="総数／事業所数" totalsRowFunction="custom" totalsRowDxfId="306" dataCellStyle="桁区切り">
      <totalsRowFormula>SUM(LTBL_28220[総数／事業所数])</totalsRowFormula>
    </tableColumn>
    <tableColumn id="11" name="総数／構成比" dataDxfId="305"/>
    <tableColumn id="12" name="個人／事業所数" totalsRowFunction="sum" totalsRowDxfId="304" dataCellStyle="桁区切り"/>
    <tableColumn id="13" name="個人／構成比" dataDxfId="303"/>
    <tableColumn id="14" name="法人／事業所数" totalsRowFunction="sum" totalsRowDxfId="302" dataCellStyle="桁区切り"/>
    <tableColumn id="15" name="法人／構成比" dataDxfId="301"/>
    <tableColumn id="16" name="法人以外の団体／事業所数" totalsRowFunction="sum" totalsRowDxfId="300" dataCellStyle="桁区切り"/>
  </tableColumns>
  <tableStyleInfo name="TableStyleMedium9" showFirstColumn="0" showLastColumn="0" showRowStripes="1" showColumnStripes="0"/>
</table>
</file>

<file path=xl/tables/table118.xml><?xml version="1.0" encoding="utf-8"?>
<table xmlns="http://schemas.openxmlformats.org/spreadsheetml/2006/main" id="118" name="LABTBL_28220" displayName="LABTBL_2822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9.xml><?xml version="1.0" encoding="utf-8"?>
<table xmlns="http://schemas.openxmlformats.org/spreadsheetml/2006/main" id="119" name="M_TABLE_ti.28220" displayName="M_TABLE_ti.28220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299"/>
    <tableColumn id="12" name="個人／事業所数" dataCellStyle="桁区切り"/>
    <tableColumn id="13" name="個人／構成比" dataDxfId="298"/>
    <tableColumn id="14" name="法人／事業所数" dataCellStyle="桁区切り"/>
    <tableColumn id="15" name="法人／構成比" dataDxfId="29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S_TABLE_ti.28101" displayName="S_TABLE_ti.2810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74"/>
    <tableColumn id="12" name="個人／事業所数" dataCellStyle="桁区切り"/>
    <tableColumn id="13" name="個人／構成比" dataDxfId="673"/>
    <tableColumn id="14" name="法人／事業所数" dataCellStyle="桁区切り"/>
    <tableColumn id="15" name="法人／構成比" dataDxfId="67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0.xml><?xml version="1.0" encoding="utf-8"?>
<table xmlns="http://schemas.openxmlformats.org/spreadsheetml/2006/main" id="120" name="S_TABLE_ti.28220" displayName="S_TABLE_ti.28220" ref="B53:I73" totalsRowShown="0">
  <autoFilter ref="B53:I73"/>
  <tableColumns count="8">
    <tableColumn id="9" name="産業小分類上位２０"/>
    <tableColumn id="10" name="総数／事業所数" dataCellStyle="桁区切り"/>
    <tableColumn id="11" name="総数／構成比" dataDxfId="296"/>
    <tableColumn id="12" name="個人／事業所数" dataCellStyle="桁区切り"/>
    <tableColumn id="13" name="個人／構成比" dataDxfId="295"/>
    <tableColumn id="14" name="法人／事業所数" dataCellStyle="桁区切り"/>
    <tableColumn id="15" name="法人／構成比" dataDxfId="29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1.xml><?xml version="1.0" encoding="utf-8"?>
<table xmlns="http://schemas.openxmlformats.org/spreadsheetml/2006/main" id="121" name="LTBL_28221" displayName="LTBL_28221" ref="B4:I20" totalsRowCount="1">
  <autoFilter ref="B4:I19"/>
  <tableColumns count="8">
    <tableColumn id="9" name="産業大分類" totalsRowLabel="合計" totalsRowDxfId="293"/>
    <tableColumn id="10" name="総数／事業所数" totalsRowFunction="custom" totalsRowDxfId="292" dataCellStyle="桁区切り">
      <totalsRowFormula>SUM(LTBL_28221[総数／事業所数])</totalsRowFormula>
    </tableColumn>
    <tableColumn id="11" name="総数／構成比" dataDxfId="291"/>
    <tableColumn id="12" name="個人／事業所数" totalsRowFunction="sum" totalsRowDxfId="290" dataCellStyle="桁区切り"/>
    <tableColumn id="13" name="個人／構成比" dataDxfId="289"/>
    <tableColumn id="14" name="法人／事業所数" totalsRowFunction="sum" totalsRowDxfId="288" dataCellStyle="桁区切り"/>
    <tableColumn id="15" name="法人／構成比" dataDxfId="287"/>
    <tableColumn id="16" name="法人以外の団体／事業所数" totalsRowFunction="sum" totalsRowDxfId="286" dataCellStyle="桁区切り"/>
  </tableColumns>
  <tableStyleInfo name="TableStyleMedium9" showFirstColumn="0" showLastColumn="0" showRowStripes="1" showColumnStripes="0"/>
</table>
</file>

<file path=xl/tables/table122.xml><?xml version="1.0" encoding="utf-8"?>
<table xmlns="http://schemas.openxmlformats.org/spreadsheetml/2006/main" id="122" name="LABTBL_28221" displayName="LABTBL_2822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23.xml><?xml version="1.0" encoding="utf-8"?>
<table xmlns="http://schemas.openxmlformats.org/spreadsheetml/2006/main" id="123" name="M_TABLE_ti.28221" displayName="M_TABLE_ti.2822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85"/>
    <tableColumn id="12" name="個人／事業所数" dataCellStyle="桁区切り"/>
    <tableColumn id="13" name="個人／構成比" dataDxfId="284"/>
    <tableColumn id="14" name="法人／事業所数" dataCellStyle="桁区切り"/>
    <tableColumn id="15" name="法人／構成比" dataDxfId="28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4.xml><?xml version="1.0" encoding="utf-8"?>
<table xmlns="http://schemas.openxmlformats.org/spreadsheetml/2006/main" id="124" name="S_TABLE_ti.28221" displayName="S_TABLE_ti.2822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82"/>
    <tableColumn id="12" name="個人／事業所数" dataCellStyle="桁区切り"/>
    <tableColumn id="13" name="個人／構成比" dataDxfId="281"/>
    <tableColumn id="14" name="法人／事業所数" dataCellStyle="桁区切り"/>
    <tableColumn id="15" name="法人／構成比" dataDxfId="28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5.xml><?xml version="1.0" encoding="utf-8"?>
<table xmlns="http://schemas.openxmlformats.org/spreadsheetml/2006/main" id="125" name="LTBL_28222" displayName="LTBL_28222" ref="B4:I20" totalsRowCount="1">
  <autoFilter ref="B4:I19"/>
  <tableColumns count="8">
    <tableColumn id="9" name="産業大分類" totalsRowLabel="合計" totalsRowDxfId="279"/>
    <tableColumn id="10" name="総数／事業所数" totalsRowFunction="custom" totalsRowDxfId="278" dataCellStyle="桁区切り">
      <totalsRowFormula>SUM(LTBL_28222[総数／事業所数])</totalsRowFormula>
    </tableColumn>
    <tableColumn id="11" name="総数／構成比" dataDxfId="277"/>
    <tableColumn id="12" name="個人／事業所数" totalsRowFunction="sum" totalsRowDxfId="276" dataCellStyle="桁区切り"/>
    <tableColumn id="13" name="個人／構成比" dataDxfId="275"/>
    <tableColumn id="14" name="法人／事業所数" totalsRowFunction="sum" totalsRowDxfId="274" dataCellStyle="桁区切り"/>
    <tableColumn id="15" name="法人／構成比" dataDxfId="273"/>
    <tableColumn id="16" name="法人以外の団体／事業所数" totalsRowFunction="sum" totalsRowDxfId="272" dataCellStyle="桁区切り"/>
  </tableColumns>
  <tableStyleInfo name="TableStyleMedium9" showFirstColumn="0" showLastColumn="0" showRowStripes="1" showColumnStripes="0"/>
</table>
</file>

<file path=xl/tables/table126.xml><?xml version="1.0" encoding="utf-8"?>
<table xmlns="http://schemas.openxmlformats.org/spreadsheetml/2006/main" id="126" name="LABTBL_28222" displayName="LABTBL_2822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27.xml><?xml version="1.0" encoding="utf-8"?>
<table xmlns="http://schemas.openxmlformats.org/spreadsheetml/2006/main" id="127" name="M_TABLE_ti.28222" displayName="M_TABLE_ti.2822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71"/>
    <tableColumn id="12" name="個人／事業所数" dataCellStyle="桁区切り"/>
    <tableColumn id="13" name="個人／構成比" dataDxfId="270"/>
    <tableColumn id="14" name="法人／事業所数" dataCellStyle="桁区切り"/>
    <tableColumn id="15" name="法人／構成比" dataDxfId="26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8.xml><?xml version="1.0" encoding="utf-8"?>
<table xmlns="http://schemas.openxmlformats.org/spreadsheetml/2006/main" id="128" name="S_TABLE_ti.28222" displayName="S_TABLE_ti.2822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68"/>
    <tableColumn id="12" name="個人／事業所数" dataCellStyle="桁区切り"/>
    <tableColumn id="13" name="個人／構成比" dataDxfId="267"/>
    <tableColumn id="14" name="法人／事業所数" dataCellStyle="桁区切り"/>
    <tableColumn id="15" name="法人／構成比" dataDxfId="26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9.xml><?xml version="1.0" encoding="utf-8"?>
<table xmlns="http://schemas.openxmlformats.org/spreadsheetml/2006/main" id="129" name="LTBL_28223" displayName="LTBL_28223" ref="B4:I20" totalsRowCount="1">
  <autoFilter ref="B4:I19"/>
  <tableColumns count="8">
    <tableColumn id="9" name="産業大分類" totalsRowLabel="合計" totalsRowDxfId="265"/>
    <tableColumn id="10" name="総数／事業所数" totalsRowFunction="custom" totalsRowDxfId="264" dataCellStyle="桁区切り">
      <totalsRowFormula>SUM(LTBL_28223[総数／事業所数])</totalsRowFormula>
    </tableColumn>
    <tableColumn id="11" name="総数／構成比" dataDxfId="263"/>
    <tableColumn id="12" name="個人／事業所数" totalsRowFunction="sum" totalsRowDxfId="262" dataCellStyle="桁区切り"/>
    <tableColumn id="13" name="個人／構成比" dataDxfId="261"/>
    <tableColumn id="14" name="法人／事業所数" totalsRowFunction="sum" totalsRowDxfId="260" dataCellStyle="桁区切り"/>
    <tableColumn id="15" name="法人／構成比" dataDxfId="259"/>
    <tableColumn id="16" name="法人以外の団体／事業所数" totalsRowFunction="sum" totalsRowDxfId="258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LTBL_28102" displayName="LTBL_28102" ref="B4:I20" totalsRowCount="1">
  <autoFilter ref="B4:I19"/>
  <tableColumns count="8">
    <tableColumn id="9" name="産業大分類" totalsRowLabel="合計" totalsRowDxfId="671"/>
    <tableColumn id="10" name="総数／事業所数" totalsRowFunction="custom" totalsRowDxfId="670" dataCellStyle="桁区切り">
      <totalsRowFormula>SUM(LTBL_28102[総数／事業所数])</totalsRowFormula>
    </tableColumn>
    <tableColumn id="11" name="総数／構成比" dataDxfId="669"/>
    <tableColumn id="12" name="個人／事業所数" totalsRowFunction="sum" totalsRowDxfId="668" dataCellStyle="桁区切り"/>
    <tableColumn id="13" name="個人／構成比" dataDxfId="667"/>
    <tableColumn id="14" name="法人／事業所数" totalsRowFunction="sum" totalsRowDxfId="666" dataCellStyle="桁区切り"/>
    <tableColumn id="15" name="法人／構成比" dataDxfId="665"/>
    <tableColumn id="16" name="法人以外の団体／事業所数" totalsRowFunction="sum" totalsRowDxfId="664" dataCellStyle="桁区切り"/>
  </tableColumns>
  <tableStyleInfo name="TableStyleMedium9" showFirstColumn="0" showLastColumn="0" showRowStripes="1" showColumnStripes="0"/>
</table>
</file>

<file path=xl/tables/table130.xml><?xml version="1.0" encoding="utf-8"?>
<table xmlns="http://schemas.openxmlformats.org/spreadsheetml/2006/main" id="130" name="LABTBL_28223" displayName="LABTBL_2822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1.xml><?xml version="1.0" encoding="utf-8"?>
<table xmlns="http://schemas.openxmlformats.org/spreadsheetml/2006/main" id="131" name="M_TABLE_ti.28223" displayName="M_TABLE_ti.2822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57"/>
    <tableColumn id="12" name="個人／事業所数" dataCellStyle="桁区切り"/>
    <tableColumn id="13" name="個人／構成比" dataDxfId="256"/>
    <tableColumn id="14" name="法人／事業所数" dataCellStyle="桁区切り"/>
    <tableColumn id="15" name="法人／構成比" dataDxfId="25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2.xml><?xml version="1.0" encoding="utf-8"?>
<table xmlns="http://schemas.openxmlformats.org/spreadsheetml/2006/main" id="132" name="S_TABLE_ti.28223" displayName="S_TABLE_ti.28223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254"/>
    <tableColumn id="12" name="個人／事業所数" dataCellStyle="桁区切り"/>
    <tableColumn id="13" name="個人／構成比" dataDxfId="253"/>
    <tableColumn id="14" name="法人／事業所数" dataCellStyle="桁区切り"/>
    <tableColumn id="15" name="法人／構成比" dataDxfId="25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3.xml><?xml version="1.0" encoding="utf-8"?>
<table xmlns="http://schemas.openxmlformats.org/spreadsheetml/2006/main" id="133" name="LTBL_28224" displayName="LTBL_28224" ref="B4:I20" totalsRowCount="1">
  <autoFilter ref="B4:I19"/>
  <tableColumns count="8">
    <tableColumn id="9" name="産業大分類" totalsRowLabel="合計" totalsRowDxfId="251"/>
    <tableColumn id="10" name="総数／事業所数" totalsRowFunction="custom" totalsRowDxfId="250" dataCellStyle="桁区切り">
      <totalsRowFormula>SUM(LTBL_28224[総数／事業所数])</totalsRowFormula>
    </tableColumn>
    <tableColumn id="11" name="総数／構成比" dataDxfId="249"/>
    <tableColumn id="12" name="個人／事業所数" totalsRowFunction="sum" totalsRowDxfId="248" dataCellStyle="桁区切り"/>
    <tableColumn id="13" name="個人／構成比" dataDxfId="247"/>
    <tableColumn id="14" name="法人／事業所数" totalsRowFunction="sum" totalsRowDxfId="246" dataCellStyle="桁区切り"/>
    <tableColumn id="15" name="法人／構成比" dataDxfId="245"/>
    <tableColumn id="16" name="法人以外の団体／事業所数" totalsRowFunction="sum" totalsRowDxfId="244" dataCellStyle="桁区切り"/>
  </tableColumns>
  <tableStyleInfo name="TableStyleMedium9" showFirstColumn="0" showLastColumn="0" showRowStripes="1" showColumnStripes="0"/>
</table>
</file>

<file path=xl/tables/table134.xml><?xml version="1.0" encoding="utf-8"?>
<table xmlns="http://schemas.openxmlformats.org/spreadsheetml/2006/main" id="134" name="LABTBL_28224" displayName="LABTBL_2822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5.xml><?xml version="1.0" encoding="utf-8"?>
<table xmlns="http://schemas.openxmlformats.org/spreadsheetml/2006/main" id="135" name="M_TABLE_ti.28224" displayName="M_TABLE_ti.2822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43"/>
    <tableColumn id="12" name="個人／事業所数" dataCellStyle="桁区切り"/>
    <tableColumn id="13" name="個人／構成比" dataDxfId="242"/>
    <tableColumn id="14" name="法人／事業所数" dataCellStyle="桁区切り"/>
    <tableColumn id="15" name="法人／構成比" dataDxfId="24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6.xml><?xml version="1.0" encoding="utf-8"?>
<table xmlns="http://schemas.openxmlformats.org/spreadsheetml/2006/main" id="136" name="S_TABLE_ti.28224" displayName="S_TABLE_ti.28224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40"/>
    <tableColumn id="12" name="個人／事業所数" dataCellStyle="桁区切り"/>
    <tableColumn id="13" name="個人／構成比" dataDxfId="239"/>
    <tableColumn id="14" name="法人／事業所数" dataCellStyle="桁区切り"/>
    <tableColumn id="15" name="法人／構成比" dataDxfId="23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7.xml><?xml version="1.0" encoding="utf-8"?>
<table xmlns="http://schemas.openxmlformats.org/spreadsheetml/2006/main" id="137" name="LTBL_28225" displayName="LTBL_28225" ref="B4:I20" totalsRowCount="1">
  <autoFilter ref="B4:I19"/>
  <tableColumns count="8">
    <tableColumn id="9" name="産業大分類" totalsRowLabel="合計" totalsRowDxfId="237"/>
    <tableColumn id="10" name="総数／事業所数" totalsRowFunction="custom" totalsRowDxfId="236" dataCellStyle="桁区切り">
      <totalsRowFormula>SUM(LTBL_28225[総数／事業所数])</totalsRowFormula>
    </tableColumn>
    <tableColumn id="11" name="総数／構成比" dataDxfId="235"/>
    <tableColumn id="12" name="個人／事業所数" totalsRowFunction="sum" totalsRowDxfId="234" dataCellStyle="桁区切り"/>
    <tableColumn id="13" name="個人／構成比" dataDxfId="233"/>
    <tableColumn id="14" name="法人／事業所数" totalsRowFunction="sum" totalsRowDxfId="232" dataCellStyle="桁区切り"/>
    <tableColumn id="15" name="法人／構成比" dataDxfId="231"/>
    <tableColumn id="16" name="法人以外の団体／事業所数" totalsRowFunction="sum" totalsRowDxfId="230" dataCellStyle="桁区切り"/>
  </tableColumns>
  <tableStyleInfo name="TableStyleMedium9" showFirstColumn="0" showLastColumn="0" showRowStripes="1" showColumnStripes="0"/>
</table>
</file>

<file path=xl/tables/table138.xml><?xml version="1.0" encoding="utf-8"?>
<table xmlns="http://schemas.openxmlformats.org/spreadsheetml/2006/main" id="138" name="LABTBL_28225" displayName="LABTBL_2822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9.xml><?xml version="1.0" encoding="utf-8"?>
<table xmlns="http://schemas.openxmlformats.org/spreadsheetml/2006/main" id="139" name="M_TABLE_ti.28225" displayName="M_TABLE_ti.28225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229"/>
    <tableColumn id="12" name="個人／事業所数" dataCellStyle="桁区切り"/>
    <tableColumn id="13" name="個人／構成比" dataDxfId="228"/>
    <tableColumn id="14" name="法人／事業所数" dataCellStyle="桁区切り"/>
    <tableColumn id="15" name="法人／構成比" dataDxfId="22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LABTBL_28102" displayName="LABTBL_281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0.xml><?xml version="1.0" encoding="utf-8"?>
<table xmlns="http://schemas.openxmlformats.org/spreadsheetml/2006/main" id="140" name="S_TABLE_ti.28225" displayName="S_TABLE_ti.28225" ref="B52:I74" totalsRowShown="0">
  <autoFilter ref="B52:I74"/>
  <tableColumns count="8">
    <tableColumn id="9" name="産業小分類上位２０"/>
    <tableColumn id="10" name="総数／事業所数" dataCellStyle="桁区切り"/>
    <tableColumn id="11" name="総数／構成比" dataDxfId="226"/>
    <tableColumn id="12" name="個人／事業所数" dataCellStyle="桁区切り"/>
    <tableColumn id="13" name="個人／構成比" dataDxfId="225"/>
    <tableColumn id="14" name="法人／事業所数" dataCellStyle="桁区切り"/>
    <tableColumn id="15" name="法人／構成比" dataDxfId="22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1.xml><?xml version="1.0" encoding="utf-8"?>
<table xmlns="http://schemas.openxmlformats.org/spreadsheetml/2006/main" id="141" name="LTBL_28226" displayName="LTBL_28226" ref="B4:I20" totalsRowCount="1">
  <autoFilter ref="B4:I19"/>
  <tableColumns count="8">
    <tableColumn id="9" name="産業大分類" totalsRowLabel="合計" totalsRowDxfId="223"/>
    <tableColumn id="10" name="総数／事業所数" totalsRowFunction="custom" totalsRowDxfId="222" dataCellStyle="桁区切り">
      <totalsRowFormula>SUM(LTBL_28226[総数／事業所数])</totalsRowFormula>
    </tableColumn>
    <tableColumn id="11" name="総数／構成比" dataDxfId="221"/>
    <tableColumn id="12" name="個人／事業所数" totalsRowFunction="sum" totalsRowDxfId="220" dataCellStyle="桁区切り"/>
    <tableColumn id="13" name="個人／構成比" dataDxfId="219"/>
    <tableColumn id="14" name="法人／事業所数" totalsRowFunction="sum" totalsRowDxfId="218" dataCellStyle="桁区切り"/>
    <tableColumn id="15" name="法人／構成比" dataDxfId="217"/>
    <tableColumn id="16" name="法人以外の団体／事業所数" totalsRowFunction="sum" totalsRowDxfId="216" dataCellStyle="桁区切り"/>
  </tableColumns>
  <tableStyleInfo name="TableStyleMedium9" showFirstColumn="0" showLastColumn="0" showRowStripes="1" showColumnStripes="0"/>
</table>
</file>

<file path=xl/tables/table142.xml><?xml version="1.0" encoding="utf-8"?>
<table xmlns="http://schemas.openxmlformats.org/spreadsheetml/2006/main" id="142" name="LABTBL_28226" displayName="LABTBL_2822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3.xml><?xml version="1.0" encoding="utf-8"?>
<table xmlns="http://schemas.openxmlformats.org/spreadsheetml/2006/main" id="143" name="M_TABLE_ti.28226" displayName="M_TABLE_ti.28226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215"/>
    <tableColumn id="12" name="個人／事業所数" dataCellStyle="桁区切り"/>
    <tableColumn id="13" name="個人／構成比" dataDxfId="214"/>
    <tableColumn id="14" name="法人／事業所数" dataCellStyle="桁区切り"/>
    <tableColumn id="15" name="法人／構成比" dataDxfId="21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4.xml><?xml version="1.0" encoding="utf-8"?>
<table xmlns="http://schemas.openxmlformats.org/spreadsheetml/2006/main" id="144" name="S_TABLE_ti.28226" displayName="S_TABLE_ti.28226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212"/>
    <tableColumn id="12" name="個人／事業所数" dataCellStyle="桁区切り"/>
    <tableColumn id="13" name="個人／構成比" dataDxfId="211"/>
    <tableColumn id="14" name="法人／事業所数" dataCellStyle="桁区切り"/>
    <tableColumn id="15" name="法人／構成比" dataDxfId="21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5.xml><?xml version="1.0" encoding="utf-8"?>
<table xmlns="http://schemas.openxmlformats.org/spreadsheetml/2006/main" id="145" name="LTBL_28227" displayName="LTBL_28227" ref="B4:I20" totalsRowCount="1">
  <autoFilter ref="B4:I19"/>
  <tableColumns count="8">
    <tableColumn id="9" name="産業大分類" totalsRowLabel="合計" totalsRowDxfId="209"/>
    <tableColumn id="10" name="総数／事業所数" totalsRowFunction="custom" totalsRowDxfId="208" dataCellStyle="桁区切り">
      <totalsRowFormula>SUM(LTBL_28227[総数／事業所数])</totalsRowFormula>
    </tableColumn>
    <tableColumn id="11" name="総数／構成比" dataDxfId="207"/>
    <tableColumn id="12" name="個人／事業所数" totalsRowFunction="sum" totalsRowDxfId="206" dataCellStyle="桁区切り"/>
    <tableColumn id="13" name="個人／構成比" dataDxfId="205"/>
    <tableColumn id="14" name="法人／事業所数" totalsRowFunction="sum" totalsRowDxfId="204" dataCellStyle="桁区切り"/>
    <tableColumn id="15" name="法人／構成比" dataDxfId="203"/>
    <tableColumn id="16" name="法人以外の団体／事業所数" totalsRowFunction="sum" totalsRowDxfId="202" dataCellStyle="桁区切り"/>
  </tableColumns>
  <tableStyleInfo name="TableStyleMedium9" showFirstColumn="0" showLastColumn="0" showRowStripes="1" showColumnStripes="0"/>
</table>
</file>

<file path=xl/tables/table146.xml><?xml version="1.0" encoding="utf-8"?>
<table xmlns="http://schemas.openxmlformats.org/spreadsheetml/2006/main" id="146" name="LABTBL_28227" displayName="LABTBL_2822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7.xml><?xml version="1.0" encoding="utf-8"?>
<table xmlns="http://schemas.openxmlformats.org/spreadsheetml/2006/main" id="147" name="M_TABLE_ti.28227" displayName="M_TABLE_ti.2822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01"/>
    <tableColumn id="12" name="個人／事業所数" dataCellStyle="桁区切り"/>
    <tableColumn id="13" name="個人／構成比" dataDxfId="200"/>
    <tableColumn id="14" name="法人／事業所数" dataCellStyle="桁区切り"/>
    <tableColumn id="15" name="法人／構成比" dataDxfId="19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8.xml><?xml version="1.0" encoding="utf-8"?>
<table xmlns="http://schemas.openxmlformats.org/spreadsheetml/2006/main" id="148" name="S_TABLE_ti.28227" displayName="S_TABLE_ti.28227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198"/>
    <tableColumn id="12" name="個人／事業所数" dataCellStyle="桁区切り"/>
    <tableColumn id="13" name="個人／構成比" dataDxfId="197"/>
    <tableColumn id="14" name="法人／事業所数" dataCellStyle="桁区切り"/>
    <tableColumn id="15" name="法人／構成比" dataDxfId="19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9.xml><?xml version="1.0" encoding="utf-8"?>
<table xmlns="http://schemas.openxmlformats.org/spreadsheetml/2006/main" id="149" name="LTBL_28228" displayName="LTBL_28228" ref="B4:I20" totalsRowCount="1">
  <autoFilter ref="B4:I19"/>
  <tableColumns count="8">
    <tableColumn id="9" name="産業大分類" totalsRowLabel="合計" totalsRowDxfId="195"/>
    <tableColumn id="10" name="総数／事業所数" totalsRowFunction="custom" totalsRowDxfId="194" dataCellStyle="桁区切り">
      <totalsRowFormula>SUM(LTBL_28228[総数／事業所数])</totalsRowFormula>
    </tableColumn>
    <tableColumn id="11" name="総数／構成比" dataDxfId="193"/>
    <tableColumn id="12" name="個人／事業所数" totalsRowFunction="sum" totalsRowDxfId="192" dataCellStyle="桁区切り"/>
    <tableColumn id="13" name="個人／構成比" dataDxfId="191"/>
    <tableColumn id="14" name="法人／事業所数" totalsRowFunction="sum" totalsRowDxfId="190" dataCellStyle="桁区切り"/>
    <tableColumn id="15" name="法人／構成比" dataDxfId="189"/>
    <tableColumn id="16" name="法人以外の団体／事業所数" totalsRowFunction="sum" totalsRowDxfId="188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M_TABLE_ti.28102" displayName="M_TABLE_ti.28102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663"/>
    <tableColumn id="12" name="個人／事業所数" dataCellStyle="桁区切り"/>
    <tableColumn id="13" name="個人／構成比" dataDxfId="662"/>
    <tableColumn id="14" name="法人／事業所数" dataCellStyle="桁区切り"/>
    <tableColumn id="15" name="法人／構成比" dataDxfId="66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0.xml><?xml version="1.0" encoding="utf-8"?>
<table xmlns="http://schemas.openxmlformats.org/spreadsheetml/2006/main" id="150" name="LABTBL_28228" displayName="LABTBL_2822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1.xml><?xml version="1.0" encoding="utf-8"?>
<table xmlns="http://schemas.openxmlformats.org/spreadsheetml/2006/main" id="151" name="M_TABLE_ti.28228" displayName="M_TABLE_ti.28228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87"/>
    <tableColumn id="12" name="個人／事業所数" dataCellStyle="桁区切り"/>
    <tableColumn id="13" name="個人／構成比" dataDxfId="186"/>
    <tableColumn id="14" name="法人／事業所数" dataCellStyle="桁区切り"/>
    <tableColumn id="15" name="法人／構成比" dataDxfId="18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2.xml><?xml version="1.0" encoding="utf-8"?>
<table xmlns="http://schemas.openxmlformats.org/spreadsheetml/2006/main" id="152" name="S_TABLE_ti.28228" displayName="S_TABLE_ti.28228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184"/>
    <tableColumn id="12" name="個人／事業所数" dataCellStyle="桁区切り"/>
    <tableColumn id="13" name="個人／構成比" dataDxfId="183"/>
    <tableColumn id="14" name="法人／事業所数" dataCellStyle="桁区切り"/>
    <tableColumn id="15" name="法人／構成比" dataDxfId="18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3.xml><?xml version="1.0" encoding="utf-8"?>
<table xmlns="http://schemas.openxmlformats.org/spreadsheetml/2006/main" id="153" name="LTBL_28229" displayName="LTBL_28229" ref="B4:I20" totalsRowCount="1">
  <autoFilter ref="B4:I19"/>
  <tableColumns count="8">
    <tableColumn id="9" name="産業大分類" totalsRowLabel="合計" totalsRowDxfId="181"/>
    <tableColumn id="10" name="総数／事業所数" totalsRowFunction="custom" totalsRowDxfId="180" dataCellStyle="桁区切り">
      <totalsRowFormula>SUM(LTBL_28229[総数／事業所数])</totalsRowFormula>
    </tableColumn>
    <tableColumn id="11" name="総数／構成比" dataDxfId="179"/>
    <tableColumn id="12" name="個人／事業所数" totalsRowFunction="sum" totalsRowDxfId="178" dataCellStyle="桁区切り"/>
    <tableColumn id="13" name="個人／構成比" dataDxfId="177"/>
    <tableColumn id="14" name="法人／事業所数" totalsRowFunction="sum" totalsRowDxfId="176" dataCellStyle="桁区切り"/>
    <tableColumn id="15" name="法人／構成比" dataDxfId="175"/>
    <tableColumn id="16" name="法人以外の団体／事業所数" totalsRowFunction="sum" totalsRowDxfId="174" dataCellStyle="桁区切り"/>
  </tableColumns>
  <tableStyleInfo name="TableStyleMedium9" showFirstColumn="0" showLastColumn="0" showRowStripes="1" showColumnStripes="0"/>
</table>
</file>

<file path=xl/tables/table154.xml><?xml version="1.0" encoding="utf-8"?>
<table xmlns="http://schemas.openxmlformats.org/spreadsheetml/2006/main" id="154" name="LABTBL_28229" displayName="LABTBL_2822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5.xml><?xml version="1.0" encoding="utf-8"?>
<table xmlns="http://schemas.openxmlformats.org/spreadsheetml/2006/main" id="155" name="M_TABLE_ti.28229" displayName="M_TABLE_ti.28229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73"/>
    <tableColumn id="12" name="個人／事業所数" dataCellStyle="桁区切り"/>
    <tableColumn id="13" name="個人／構成比" dataDxfId="172"/>
    <tableColumn id="14" name="法人／事業所数" dataCellStyle="桁区切り"/>
    <tableColumn id="15" name="法人／構成比" dataDxfId="17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6.xml><?xml version="1.0" encoding="utf-8"?>
<table xmlns="http://schemas.openxmlformats.org/spreadsheetml/2006/main" id="156" name="S_TABLE_ti.28229" displayName="S_TABLE_ti.28229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170"/>
    <tableColumn id="12" name="個人／事業所数" dataCellStyle="桁区切り"/>
    <tableColumn id="13" name="個人／構成比" dataDxfId="169"/>
    <tableColumn id="14" name="法人／事業所数" dataCellStyle="桁区切り"/>
    <tableColumn id="15" name="法人／構成比" dataDxfId="16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7.xml><?xml version="1.0" encoding="utf-8"?>
<table xmlns="http://schemas.openxmlformats.org/spreadsheetml/2006/main" id="157" name="LTBL_28301" displayName="LTBL_28301" ref="B4:I20" totalsRowCount="1">
  <autoFilter ref="B4:I19"/>
  <tableColumns count="8">
    <tableColumn id="9" name="産業大分類" totalsRowLabel="合計" totalsRowDxfId="167"/>
    <tableColumn id="10" name="総数／事業所数" totalsRowFunction="custom" totalsRowDxfId="166" dataCellStyle="桁区切り">
      <totalsRowFormula>SUM(LTBL_28301[総数／事業所数])</totalsRowFormula>
    </tableColumn>
    <tableColumn id="11" name="総数／構成比" dataDxfId="165"/>
    <tableColumn id="12" name="個人／事業所数" totalsRowFunction="sum" totalsRowDxfId="164" dataCellStyle="桁区切り"/>
    <tableColumn id="13" name="個人／構成比" dataDxfId="163"/>
    <tableColumn id="14" name="法人／事業所数" totalsRowFunction="sum" totalsRowDxfId="162" dataCellStyle="桁区切り"/>
    <tableColumn id="15" name="法人／構成比" dataDxfId="161"/>
    <tableColumn id="16" name="法人以外の団体／事業所数" totalsRowFunction="sum" totalsRowDxfId="160" dataCellStyle="桁区切り"/>
  </tableColumns>
  <tableStyleInfo name="TableStyleMedium9" showFirstColumn="0" showLastColumn="0" showRowStripes="1" showColumnStripes="0"/>
</table>
</file>

<file path=xl/tables/table158.xml><?xml version="1.0" encoding="utf-8"?>
<table xmlns="http://schemas.openxmlformats.org/spreadsheetml/2006/main" id="158" name="LABTBL_28301" displayName="LABTBL_283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9.xml><?xml version="1.0" encoding="utf-8"?>
<table xmlns="http://schemas.openxmlformats.org/spreadsheetml/2006/main" id="159" name="M_TABLE_ti.28301" displayName="M_TABLE_ti.28301" ref="B28:I53" totalsRowShown="0">
  <autoFilter ref="B28:I53"/>
  <tableColumns count="8">
    <tableColumn id="9" name="産業中分類上位２０"/>
    <tableColumn id="10" name="総数／事業所数" dataCellStyle="桁区切り"/>
    <tableColumn id="11" name="総数／構成比" dataDxfId="159"/>
    <tableColumn id="12" name="個人／事業所数" dataCellStyle="桁区切り"/>
    <tableColumn id="13" name="個人／構成比" dataDxfId="158"/>
    <tableColumn id="14" name="法人／事業所数" dataCellStyle="桁区切り"/>
    <tableColumn id="15" name="法人／構成比" dataDxfId="15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S_TABLE_ti.28102" displayName="S_TABLE_ti.28102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660"/>
    <tableColumn id="12" name="個人／事業所数" dataCellStyle="桁区切り"/>
    <tableColumn id="13" name="個人／構成比" dataDxfId="659"/>
    <tableColumn id="14" name="法人／事業所数" dataCellStyle="桁区切り"/>
    <tableColumn id="15" name="法人／構成比" dataDxfId="65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0.xml><?xml version="1.0" encoding="utf-8"?>
<table xmlns="http://schemas.openxmlformats.org/spreadsheetml/2006/main" id="160" name="S_TABLE_ti.28301" displayName="S_TABLE_ti.28301" ref="B56:I81" totalsRowShown="0">
  <autoFilter ref="B56:I81"/>
  <tableColumns count="8">
    <tableColumn id="9" name="産業小分類上位２０"/>
    <tableColumn id="10" name="総数／事業所数" dataCellStyle="桁区切り"/>
    <tableColumn id="11" name="総数／構成比" dataDxfId="156"/>
    <tableColumn id="12" name="個人／事業所数" dataCellStyle="桁区切り"/>
    <tableColumn id="13" name="個人／構成比" dataDxfId="155"/>
    <tableColumn id="14" name="法人／事業所数" dataCellStyle="桁区切り"/>
    <tableColumn id="15" name="法人／構成比" dataDxfId="15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1.xml><?xml version="1.0" encoding="utf-8"?>
<table xmlns="http://schemas.openxmlformats.org/spreadsheetml/2006/main" id="161" name="LTBL_28365" displayName="LTBL_28365" ref="B4:I20" totalsRowCount="1">
  <autoFilter ref="B4:I19"/>
  <tableColumns count="8">
    <tableColumn id="9" name="産業大分類" totalsRowLabel="合計" totalsRowDxfId="153"/>
    <tableColumn id="10" name="総数／事業所数" totalsRowFunction="custom" totalsRowDxfId="152" dataCellStyle="桁区切り">
      <totalsRowFormula>SUM(LTBL_28365[総数／事業所数])</totalsRowFormula>
    </tableColumn>
    <tableColumn id="11" name="総数／構成比" dataDxfId="151"/>
    <tableColumn id="12" name="個人／事業所数" totalsRowFunction="sum" totalsRowDxfId="150" dataCellStyle="桁区切り"/>
    <tableColumn id="13" name="個人／構成比" dataDxfId="149"/>
    <tableColumn id="14" name="法人／事業所数" totalsRowFunction="sum" totalsRowDxfId="148" dataCellStyle="桁区切り"/>
    <tableColumn id="15" name="法人／構成比" dataDxfId="147"/>
    <tableColumn id="16" name="法人以外の団体／事業所数" totalsRowFunction="sum" totalsRowDxfId="146" dataCellStyle="桁区切り"/>
  </tableColumns>
  <tableStyleInfo name="TableStyleMedium9" showFirstColumn="0" showLastColumn="0" showRowStripes="1" showColumnStripes="0"/>
</table>
</file>

<file path=xl/tables/table162.xml><?xml version="1.0" encoding="utf-8"?>
<table xmlns="http://schemas.openxmlformats.org/spreadsheetml/2006/main" id="162" name="LABTBL_28365" displayName="LABTBL_2836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63.xml><?xml version="1.0" encoding="utf-8"?>
<table xmlns="http://schemas.openxmlformats.org/spreadsheetml/2006/main" id="163" name="M_TABLE_ti.28365" displayName="M_TABLE_ti.28365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45"/>
    <tableColumn id="12" name="個人／事業所数" dataCellStyle="桁区切り"/>
    <tableColumn id="13" name="個人／構成比" dataDxfId="144"/>
    <tableColumn id="14" name="法人／事業所数" dataCellStyle="桁区切り"/>
    <tableColumn id="15" name="法人／構成比" dataDxfId="14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4.xml><?xml version="1.0" encoding="utf-8"?>
<table xmlns="http://schemas.openxmlformats.org/spreadsheetml/2006/main" id="164" name="S_TABLE_ti.28365" displayName="S_TABLE_ti.28365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142"/>
    <tableColumn id="12" name="個人／事業所数" dataCellStyle="桁区切り"/>
    <tableColumn id="13" name="個人／構成比" dataDxfId="141"/>
    <tableColumn id="14" name="法人／事業所数" dataCellStyle="桁区切り"/>
    <tableColumn id="15" name="法人／構成比" dataDxfId="14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5.xml><?xml version="1.0" encoding="utf-8"?>
<table xmlns="http://schemas.openxmlformats.org/spreadsheetml/2006/main" id="165" name="LTBL_28381" displayName="LTBL_28381" ref="B4:I20" totalsRowCount="1">
  <autoFilter ref="B4:I19"/>
  <tableColumns count="8">
    <tableColumn id="9" name="産業大分類" totalsRowLabel="合計" totalsRowDxfId="139"/>
    <tableColumn id="10" name="総数／事業所数" totalsRowFunction="custom" totalsRowDxfId="138" dataCellStyle="桁区切り">
      <totalsRowFormula>SUM(LTBL_28381[総数／事業所数])</totalsRowFormula>
    </tableColumn>
    <tableColumn id="11" name="総数／構成比" dataDxfId="137"/>
    <tableColumn id="12" name="個人／事業所数" totalsRowFunction="sum" totalsRowDxfId="136" dataCellStyle="桁区切り"/>
    <tableColumn id="13" name="個人／構成比" dataDxfId="135"/>
    <tableColumn id="14" name="法人／事業所数" totalsRowFunction="sum" totalsRowDxfId="134" dataCellStyle="桁区切り"/>
    <tableColumn id="15" name="法人／構成比" dataDxfId="133"/>
    <tableColumn id="16" name="法人以外の団体／事業所数" totalsRowFunction="sum" totalsRowDxfId="132" dataCellStyle="桁区切り"/>
  </tableColumns>
  <tableStyleInfo name="TableStyleMedium9" showFirstColumn="0" showLastColumn="0" showRowStripes="1" showColumnStripes="0"/>
</table>
</file>

<file path=xl/tables/table166.xml><?xml version="1.0" encoding="utf-8"?>
<table xmlns="http://schemas.openxmlformats.org/spreadsheetml/2006/main" id="166" name="LABTBL_28381" displayName="LABTBL_2838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67.xml><?xml version="1.0" encoding="utf-8"?>
<table xmlns="http://schemas.openxmlformats.org/spreadsheetml/2006/main" id="167" name="M_TABLE_ti.28381" displayName="M_TABLE_ti.28381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31"/>
    <tableColumn id="12" name="個人／事業所数" dataCellStyle="桁区切り"/>
    <tableColumn id="13" name="個人／構成比" dataDxfId="130"/>
    <tableColumn id="14" name="法人／事業所数" dataCellStyle="桁区切り"/>
    <tableColumn id="15" name="法人／構成比" dataDxfId="12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8.xml><?xml version="1.0" encoding="utf-8"?>
<table xmlns="http://schemas.openxmlformats.org/spreadsheetml/2006/main" id="168" name="S_TABLE_ti.28381" displayName="S_TABLE_ti.28381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128"/>
    <tableColumn id="12" name="個人／事業所数" dataCellStyle="桁区切り"/>
    <tableColumn id="13" name="個人／構成比" dataDxfId="127"/>
    <tableColumn id="14" name="法人／事業所数" dataCellStyle="桁区切り"/>
    <tableColumn id="15" name="法人／構成比" dataDxfId="12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9.xml><?xml version="1.0" encoding="utf-8"?>
<table xmlns="http://schemas.openxmlformats.org/spreadsheetml/2006/main" id="169" name="LTBL_28382" displayName="LTBL_28382" ref="B4:I20" totalsRowCount="1">
  <autoFilter ref="B4:I19"/>
  <tableColumns count="8">
    <tableColumn id="9" name="産業大分類" totalsRowLabel="合計" totalsRowDxfId="125"/>
    <tableColumn id="10" name="総数／事業所数" totalsRowFunction="custom" totalsRowDxfId="124" dataCellStyle="桁区切り">
      <totalsRowFormula>SUM(LTBL_28382[総数／事業所数])</totalsRowFormula>
    </tableColumn>
    <tableColumn id="11" name="総数／構成比" dataDxfId="123"/>
    <tableColumn id="12" name="個人／事業所数" totalsRowFunction="sum" totalsRowDxfId="122" dataCellStyle="桁区切り"/>
    <tableColumn id="13" name="個人／構成比" dataDxfId="121"/>
    <tableColumn id="14" name="法人／事業所数" totalsRowFunction="sum" totalsRowDxfId="120" dataCellStyle="桁区切り"/>
    <tableColumn id="15" name="法人／構成比" dataDxfId="119"/>
    <tableColumn id="16" name="法人以外の団体／事業所数" totalsRowFunction="sum" totalsRowDxfId="118" data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LTBL_28105" displayName="LTBL_28105" ref="B4:I20" totalsRowCount="1">
  <autoFilter ref="B4:I19"/>
  <tableColumns count="8">
    <tableColumn id="9" name="産業大分類" totalsRowLabel="合計" totalsRowDxfId="657"/>
    <tableColumn id="10" name="総数／事業所数" totalsRowFunction="custom" totalsRowDxfId="656" dataCellStyle="桁区切り">
      <totalsRowFormula>SUM(LTBL_28105[総数／事業所数])</totalsRowFormula>
    </tableColumn>
    <tableColumn id="11" name="総数／構成比" dataDxfId="655"/>
    <tableColumn id="12" name="個人／事業所数" totalsRowFunction="sum" totalsRowDxfId="654" dataCellStyle="桁区切り"/>
    <tableColumn id="13" name="個人／構成比" dataDxfId="653"/>
    <tableColumn id="14" name="法人／事業所数" totalsRowFunction="sum" totalsRowDxfId="652" dataCellStyle="桁区切り"/>
    <tableColumn id="15" name="法人／構成比" dataDxfId="651"/>
    <tableColumn id="16" name="法人以外の団体／事業所数" totalsRowFunction="sum" totalsRowDxfId="650" dataCellStyle="桁区切り"/>
  </tableColumns>
  <tableStyleInfo name="TableStyleMedium9" showFirstColumn="0" showLastColumn="0" showRowStripes="1" showColumnStripes="0"/>
</table>
</file>

<file path=xl/tables/table170.xml><?xml version="1.0" encoding="utf-8"?>
<table xmlns="http://schemas.openxmlformats.org/spreadsheetml/2006/main" id="170" name="LABTBL_28382" displayName="LABTBL_2838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71.xml><?xml version="1.0" encoding="utf-8"?>
<table xmlns="http://schemas.openxmlformats.org/spreadsheetml/2006/main" id="171" name="M_TABLE_ti.28382" displayName="M_TABLE_ti.2838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17"/>
    <tableColumn id="12" name="個人／事業所数" dataCellStyle="桁区切り"/>
    <tableColumn id="13" name="個人／構成比" dataDxfId="116"/>
    <tableColumn id="14" name="法人／事業所数" dataCellStyle="桁区切り"/>
    <tableColumn id="15" name="法人／構成比" dataDxfId="11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2.xml><?xml version="1.0" encoding="utf-8"?>
<table xmlns="http://schemas.openxmlformats.org/spreadsheetml/2006/main" id="172" name="S_TABLE_ti.28382" displayName="S_TABLE_ti.2838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114"/>
    <tableColumn id="12" name="個人／事業所数" dataCellStyle="桁区切り"/>
    <tableColumn id="13" name="個人／構成比" dataDxfId="113"/>
    <tableColumn id="14" name="法人／事業所数" dataCellStyle="桁区切り"/>
    <tableColumn id="15" name="法人／構成比" dataDxfId="11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3.xml><?xml version="1.0" encoding="utf-8"?>
<table xmlns="http://schemas.openxmlformats.org/spreadsheetml/2006/main" id="173" name="LTBL_28442" displayName="LTBL_28442" ref="B4:I20" totalsRowCount="1">
  <autoFilter ref="B4:I19"/>
  <tableColumns count="8">
    <tableColumn id="9" name="産業大分類" totalsRowLabel="合計" totalsRowDxfId="111"/>
    <tableColumn id="10" name="総数／事業所数" totalsRowFunction="custom" totalsRowDxfId="110" dataCellStyle="桁区切り">
      <totalsRowFormula>SUM(LTBL_28442[総数／事業所数])</totalsRowFormula>
    </tableColumn>
    <tableColumn id="11" name="総数／構成比" dataDxfId="109"/>
    <tableColumn id="12" name="個人／事業所数" totalsRowFunction="sum" totalsRowDxfId="108" dataCellStyle="桁区切り"/>
    <tableColumn id="13" name="個人／構成比" dataDxfId="107"/>
    <tableColumn id="14" name="法人／事業所数" totalsRowFunction="sum" totalsRowDxfId="106" dataCellStyle="桁区切り"/>
    <tableColumn id="15" name="法人／構成比" dataDxfId="105"/>
    <tableColumn id="16" name="法人以外の団体／事業所数" totalsRowFunction="sum" totalsRowDxfId="104" dataCellStyle="桁区切り"/>
  </tableColumns>
  <tableStyleInfo name="TableStyleMedium9" showFirstColumn="0" showLastColumn="0" showRowStripes="1" showColumnStripes="0"/>
</table>
</file>

<file path=xl/tables/table174.xml><?xml version="1.0" encoding="utf-8"?>
<table xmlns="http://schemas.openxmlformats.org/spreadsheetml/2006/main" id="174" name="LABTBL_28442" displayName="LABTBL_2844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75.xml><?xml version="1.0" encoding="utf-8"?>
<table xmlns="http://schemas.openxmlformats.org/spreadsheetml/2006/main" id="175" name="M_TABLE_ti.28442" displayName="M_TABLE_ti.28442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03"/>
    <tableColumn id="12" name="個人／事業所数" dataCellStyle="桁区切り"/>
    <tableColumn id="13" name="個人／構成比" dataDxfId="102"/>
    <tableColumn id="14" name="法人／事業所数" dataCellStyle="桁区切り"/>
    <tableColumn id="15" name="法人／構成比" dataDxfId="10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6.xml><?xml version="1.0" encoding="utf-8"?>
<table xmlns="http://schemas.openxmlformats.org/spreadsheetml/2006/main" id="176" name="S_TABLE_ti.28442" displayName="S_TABLE_ti.28442" ref="B52:I78" totalsRowShown="0">
  <autoFilter ref="B52:I78"/>
  <tableColumns count="8">
    <tableColumn id="9" name="産業小分類上位２０"/>
    <tableColumn id="10" name="総数／事業所数" dataCellStyle="桁区切り"/>
    <tableColumn id="11" name="総数／構成比" dataDxfId="100"/>
    <tableColumn id="12" name="個人／事業所数" dataCellStyle="桁区切り"/>
    <tableColumn id="13" name="個人／構成比" dataDxfId="99"/>
    <tableColumn id="14" name="法人／事業所数" dataCellStyle="桁区切り"/>
    <tableColumn id="15" name="法人／構成比" dataDxfId="9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7.xml><?xml version="1.0" encoding="utf-8"?>
<table xmlns="http://schemas.openxmlformats.org/spreadsheetml/2006/main" id="177" name="LTBL_28443" displayName="LTBL_28443" ref="B4:I20" totalsRowCount="1">
  <autoFilter ref="B4:I19"/>
  <tableColumns count="8">
    <tableColumn id="9" name="産業大分類" totalsRowLabel="合計" totalsRowDxfId="97"/>
    <tableColumn id="10" name="総数／事業所数" totalsRowFunction="custom" totalsRowDxfId="96" dataCellStyle="桁区切り">
      <totalsRowFormula>SUM(LTBL_28443[総数／事業所数])</totalsRowFormula>
    </tableColumn>
    <tableColumn id="11" name="総数／構成比" dataDxfId="95"/>
    <tableColumn id="12" name="個人／事業所数" totalsRowFunction="sum" totalsRowDxfId="94" dataCellStyle="桁区切り"/>
    <tableColumn id="13" name="個人／構成比" dataDxfId="93"/>
    <tableColumn id="14" name="法人／事業所数" totalsRowFunction="sum" totalsRowDxfId="92" dataCellStyle="桁区切り"/>
    <tableColumn id="15" name="法人／構成比" dataDxfId="91"/>
    <tableColumn id="16" name="法人以外の団体／事業所数" totalsRowFunction="sum" totalsRowDxfId="90" dataCellStyle="桁区切り"/>
  </tableColumns>
  <tableStyleInfo name="TableStyleMedium9" showFirstColumn="0" showLastColumn="0" showRowStripes="1" showColumnStripes="0"/>
</table>
</file>

<file path=xl/tables/table178.xml><?xml version="1.0" encoding="utf-8"?>
<table xmlns="http://schemas.openxmlformats.org/spreadsheetml/2006/main" id="178" name="LABTBL_28443" displayName="LABTBL_2844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79.xml><?xml version="1.0" encoding="utf-8"?>
<table xmlns="http://schemas.openxmlformats.org/spreadsheetml/2006/main" id="179" name="M_TABLE_ti.28443" displayName="M_TABLE_ti.2844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89"/>
    <tableColumn id="12" name="個人／事業所数" dataCellStyle="桁区切り"/>
    <tableColumn id="13" name="個人／構成比" dataDxfId="88"/>
    <tableColumn id="14" name="法人／事業所数" dataCellStyle="桁区切り"/>
    <tableColumn id="15" name="法人／構成比" dataDxfId="8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LABTBL_28105" displayName="LABTBL_281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80.xml><?xml version="1.0" encoding="utf-8"?>
<table xmlns="http://schemas.openxmlformats.org/spreadsheetml/2006/main" id="180" name="S_TABLE_ti.28443" displayName="S_TABLE_ti.2844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86"/>
    <tableColumn id="12" name="個人／事業所数" dataCellStyle="桁区切り"/>
    <tableColumn id="13" name="個人／構成比" dataDxfId="85"/>
    <tableColumn id="14" name="法人／事業所数" dataCellStyle="桁区切り"/>
    <tableColumn id="15" name="法人／構成比" dataDxfId="8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1.xml><?xml version="1.0" encoding="utf-8"?>
<table xmlns="http://schemas.openxmlformats.org/spreadsheetml/2006/main" id="181" name="LTBL_28446" displayName="LTBL_28446" ref="B4:I20" totalsRowCount="1">
  <autoFilter ref="B4:I19"/>
  <tableColumns count="8">
    <tableColumn id="9" name="産業大分類" totalsRowLabel="合計" totalsRowDxfId="83"/>
    <tableColumn id="10" name="総数／事業所数" totalsRowFunction="custom" totalsRowDxfId="82" dataCellStyle="桁区切り">
      <totalsRowFormula>SUM(LTBL_28446[総数／事業所数])</totalsRowFormula>
    </tableColumn>
    <tableColumn id="11" name="総数／構成比" dataDxfId="81"/>
    <tableColumn id="12" name="個人／事業所数" totalsRowFunction="sum" totalsRowDxfId="80" dataCellStyle="桁区切り"/>
    <tableColumn id="13" name="個人／構成比" dataDxfId="79"/>
    <tableColumn id="14" name="法人／事業所数" totalsRowFunction="sum" totalsRowDxfId="78" dataCellStyle="桁区切り"/>
    <tableColumn id="15" name="法人／構成比" dataDxfId="77"/>
    <tableColumn id="16" name="法人以外の団体／事業所数" totalsRowFunction="sum" totalsRowDxfId="76" dataCellStyle="桁区切り"/>
  </tableColumns>
  <tableStyleInfo name="TableStyleMedium9" showFirstColumn="0" showLastColumn="0" showRowStripes="1" showColumnStripes="0"/>
</table>
</file>

<file path=xl/tables/table182.xml><?xml version="1.0" encoding="utf-8"?>
<table xmlns="http://schemas.openxmlformats.org/spreadsheetml/2006/main" id="182" name="LABTBL_28446" displayName="LABTBL_2844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83.xml><?xml version="1.0" encoding="utf-8"?>
<table xmlns="http://schemas.openxmlformats.org/spreadsheetml/2006/main" id="183" name="M_TABLE_ti.28446" displayName="M_TABLE_ti.28446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75"/>
    <tableColumn id="12" name="個人／事業所数" dataCellStyle="桁区切り"/>
    <tableColumn id="13" name="個人／構成比" dataDxfId="74"/>
    <tableColumn id="14" name="法人／事業所数" dataCellStyle="桁区切り"/>
    <tableColumn id="15" name="法人／構成比" dataDxfId="7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4.xml><?xml version="1.0" encoding="utf-8"?>
<table xmlns="http://schemas.openxmlformats.org/spreadsheetml/2006/main" id="184" name="S_TABLE_ti.28446" displayName="S_TABLE_ti.28446" ref="B52:I74" totalsRowShown="0">
  <autoFilter ref="B52:I74"/>
  <tableColumns count="8">
    <tableColumn id="9" name="産業小分類上位２０"/>
    <tableColumn id="10" name="総数／事業所数" dataCellStyle="桁区切り"/>
    <tableColumn id="11" name="総数／構成比" dataDxfId="72"/>
    <tableColumn id="12" name="個人／事業所数" dataCellStyle="桁区切り"/>
    <tableColumn id="13" name="個人／構成比" dataDxfId="71"/>
    <tableColumn id="14" name="法人／事業所数" dataCellStyle="桁区切り"/>
    <tableColumn id="15" name="法人／構成比" dataDxfId="7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5.xml><?xml version="1.0" encoding="utf-8"?>
<table xmlns="http://schemas.openxmlformats.org/spreadsheetml/2006/main" id="185" name="LTBL_28464" displayName="LTBL_28464" ref="B4:I20" totalsRowCount="1">
  <autoFilter ref="B4:I19"/>
  <tableColumns count="8">
    <tableColumn id="9" name="産業大分類" totalsRowLabel="合計" totalsRowDxfId="69"/>
    <tableColumn id="10" name="総数／事業所数" totalsRowFunction="custom" totalsRowDxfId="68" dataCellStyle="桁区切り">
      <totalsRowFormula>SUM(LTBL_28464[総数／事業所数])</totalsRowFormula>
    </tableColumn>
    <tableColumn id="11" name="総数／構成比" dataDxfId="67"/>
    <tableColumn id="12" name="個人／事業所数" totalsRowFunction="sum" totalsRowDxfId="66" dataCellStyle="桁区切り"/>
    <tableColumn id="13" name="個人／構成比" dataDxfId="65"/>
    <tableColumn id="14" name="法人／事業所数" totalsRowFunction="sum" totalsRowDxfId="64" dataCellStyle="桁区切り"/>
    <tableColumn id="15" name="法人／構成比" dataDxfId="63"/>
    <tableColumn id="16" name="法人以外の団体／事業所数" totalsRowFunction="sum" totalsRowDxfId="62" dataCellStyle="桁区切り"/>
  </tableColumns>
  <tableStyleInfo name="TableStyleMedium9" showFirstColumn="0" showLastColumn="0" showRowStripes="1" showColumnStripes="0"/>
</table>
</file>

<file path=xl/tables/table186.xml><?xml version="1.0" encoding="utf-8"?>
<table xmlns="http://schemas.openxmlformats.org/spreadsheetml/2006/main" id="186" name="LABTBL_28464" displayName="LABTBL_2846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87.xml><?xml version="1.0" encoding="utf-8"?>
<table xmlns="http://schemas.openxmlformats.org/spreadsheetml/2006/main" id="187" name="M_TABLE_ti.28464" displayName="M_TABLE_ti.28464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61"/>
    <tableColumn id="12" name="個人／事業所数" dataCellStyle="桁区切り"/>
    <tableColumn id="13" name="個人／構成比" dataDxfId="60"/>
    <tableColumn id="14" name="法人／事業所数" dataCellStyle="桁区切り"/>
    <tableColumn id="15" name="法人／構成比" dataDxfId="5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8.xml><?xml version="1.0" encoding="utf-8"?>
<table xmlns="http://schemas.openxmlformats.org/spreadsheetml/2006/main" id="188" name="S_TABLE_ti.28464" displayName="S_TABLE_ti.28464" ref="B53:I73" totalsRowShown="0">
  <autoFilter ref="B53:I73"/>
  <tableColumns count="8">
    <tableColumn id="9" name="産業小分類上位２０"/>
    <tableColumn id="10" name="総数／事業所数" dataCellStyle="桁区切り"/>
    <tableColumn id="11" name="総数／構成比" dataDxfId="58"/>
    <tableColumn id="12" name="個人／事業所数" dataCellStyle="桁区切り"/>
    <tableColumn id="13" name="個人／構成比" dataDxfId="57"/>
    <tableColumn id="14" name="法人／事業所数" dataCellStyle="桁区切り"/>
    <tableColumn id="15" name="法人／構成比" dataDxfId="5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9.xml><?xml version="1.0" encoding="utf-8"?>
<table xmlns="http://schemas.openxmlformats.org/spreadsheetml/2006/main" id="189" name="LTBL_28481" displayName="LTBL_28481" ref="B4:I20" totalsRowCount="1">
  <autoFilter ref="B4:I19"/>
  <tableColumns count="8">
    <tableColumn id="9" name="産業大分類" totalsRowLabel="合計" totalsRowDxfId="55"/>
    <tableColumn id="10" name="総数／事業所数" totalsRowFunction="custom" totalsRowDxfId="54" dataCellStyle="桁区切り">
      <totalsRowFormula>SUM(LTBL_28481[総数／事業所数])</totalsRowFormula>
    </tableColumn>
    <tableColumn id="11" name="総数／構成比" dataDxfId="53"/>
    <tableColumn id="12" name="個人／事業所数" totalsRowFunction="sum" totalsRowDxfId="52" dataCellStyle="桁区切り"/>
    <tableColumn id="13" name="個人／構成比" dataDxfId="51"/>
    <tableColumn id="14" name="法人／事業所数" totalsRowFunction="sum" totalsRowDxfId="50" dataCellStyle="桁区切り"/>
    <tableColumn id="15" name="法人／構成比" dataDxfId="49"/>
    <tableColumn id="16" name="法人以外の団体／事業所数" totalsRowFunction="sum" totalsRowDxfId="48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19" name="M_TABLE_ti.28105" displayName="M_TABLE_ti.2810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49"/>
    <tableColumn id="12" name="個人／事業所数" dataCellStyle="桁区切り"/>
    <tableColumn id="13" name="個人／構成比" dataDxfId="648"/>
    <tableColumn id="14" name="法人／事業所数" dataCellStyle="桁区切り"/>
    <tableColumn id="15" name="法人／構成比" dataDxfId="64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0.xml><?xml version="1.0" encoding="utf-8"?>
<table xmlns="http://schemas.openxmlformats.org/spreadsheetml/2006/main" id="190" name="LABTBL_28481" displayName="LABTBL_2848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1.xml><?xml version="1.0" encoding="utf-8"?>
<table xmlns="http://schemas.openxmlformats.org/spreadsheetml/2006/main" id="191" name="M_TABLE_ti.28481" displayName="M_TABLE_ti.28481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47"/>
    <tableColumn id="12" name="個人／事業所数" dataCellStyle="桁区切り"/>
    <tableColumn id="13" name="個人／構成比" dataDxfId="46"/>
    <tableColumn id="14" name="法人／事業所数" dataCellStyle="桁区切り"/>
    <tableColumn id="15" name="法人／構成比" dataDxfId="4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2.xml><?xml version="1.0" encoding="utf-8"?>
<table xmlns="http://schemas.openxmlformats.org/spreadsheetml/2006/main" id="192" name="S_TABLE_ti.28481" displayName="S_TABLE_ti.28481" ref="B53:I73" totalsRowShown="0">
  <autoFilter ref="B53:I73"/>
  <tableColumns count="8">
    <tableColumn id="9" name="産業小分類上位２０"/>
    <tableColumn id="10" name="総数／事業所数" dataCellStyle="桁区切り"/>
    <tableColumn id="11" name="総数／構成比" dataDxfId="44"/>
    <tableColumn id="12" name="個人／事業所数" dataCellStyle="桁区切り"/>
    <tableColumn id="13" name="個人／構成比" dataDxfId="43"/>
    <tableColumn id="14" name="法人／事業所数" dataCellStyle="桁区切り"/>
    <tableColumn id="15" name="法人／構成比" dataDxfId="4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3.xml><?xml version="1.0" encoding="utf-8"?>
<table xmlns="http://schemas.openxmlformats.org/spreadsheetml/2006/main" id="193" name="LTBL_28501" displayName="LTBL_28501" ref="B4:I20" totalsRowCount="1">
  <autoFilter ref="B4:I19"/>
  <tableColumns count="8">
    <tableColumn id="9" name="産業大分類" totalsRowLabel="合計" totalsRowDxfId="41"/>
    <tableColumn id="10" name="総数／事業所数" totalsRowFunction="custom" totalsRowDxfId="40" dataCellStyle="桁区切り">
      <totalsRowFormula>SUM(LTBL_28501[総数／事業所数])</totalsRowFormula>
    </tableColumn>
    <tableColumn id="11" name="総数／構成比" dataDxfId="39"/>
    <tableColumn id="12" name="個人／事業所数" totalsRowFunction="sum" totalsRowDxfId="38" dataCellStyle="桁区切り"/>
    <tableColumn id="13" name="個人／構成比" dataDxfId="37"/>
    <tableColumn id="14" name="法人／事業所数" totalsRowFunction="sum" totalsRowDxfId="36" dataCellStyle="桁区切り"/>
    <tableColumn id="15" name="法人／構成比" dataDxfId="35"/>
    <tableColumn id="16" name="法人以外の団体／事業所数" totalsRowFunction="sum" totalsRowDxfId="34" dataCellStyle="桁区切り"/>
  </tableColumns>
  <tableStyleInfo name="TableStyleMedium9" showFirstColumn="0" showLastColumn="0" showRowStripes="1" showColumnStripes="0"/>
</table>
</file>

<file path=xl/tables/table194.xml><?xml version="1.0" encoding="utf-8"?>
<table xmlns="http://schemas.openxmlformats.org/spreadsheetml/2006/main" id="194" name="LABTBL_28501" displayName="LABTBL_285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5.xml><?xml version="1.0" encoding="utf-8"?>
<table xmlns="http://schemas.openxmlformats.org/spreadsheetml/2006/main" id="195" name="M_TABLE_ti.28501" displayName="M_TABLE_ti.28501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33"/>
    <tableColumn id="12" name="個人／事業所数" dataCellStyle="桁区切り"/>
    <tableColumn id="13" name="個人／構成比" dataDxfId="32"/>
    <tableColumn id="14" name="法人／事業所数" dataCellStyle="桁区切り"/>
    <tableColumn id="15" name="法人／構成比" dataDxfId="3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6.xml><?xml version="1.0" encoding="utf-8"?>
<table xmlns="http://schemas.openxmlformats.org/spreadsheetml/2006/main" id="196" name="S_TABLE_ti.28501" displayName="S_TABLE_ti.28501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30"/>
    <tableColumn id="12" name="個人／事業所数" dataCellStyle="桁区切り"/>
    <tableColumn id="13" name="個人／構成比" dataDxfId="29"/>
    <tableColumn id="14" name="法人／事業所数" dataCellStyle="桁区切り"/>
    <tableColumn id="15" name="法人／構成比" dataDxfId="2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7.xml><?xml version="1.0" encoding="utf-8"?>
<table xmlns="http://schemas.openxmlformats.org/spreadsheetml/2006/main" id="197" name="LTBL_28585" displayName="LTBL_28585" ref="B4:I20" totalsRowCount="1">
  <autoFilter ref="B4:I19"/>
  <tableColumns count="8">
    <tableColumn id="9" name="産業大分類" totalsRowLabel="合計" totalsRowDxfId="27"/>
    <tableColumn id="10" name="総数／事業所数" totalsRowFunction="custom" totalsRowDxfId="26" dataCellStyle="桁区切り">
      <totalsRowFormula>SUM(LTBL_28585[総数／事業所数])</totalsRowFormula>
    </tableColumn>
    <tableColumn id="11" name="総数／構成比" dataDxfId="25"/>
    <tableColumn id="12" name="個人／事業所数" totalsRowFunction="sum" totalsRowDxfId="24" dataCellStyle="桁区切り"/>
    <tableColumn id="13" name="個人／構成比" dataDxfId="23"/>
    <tableColumn id="14" name="法人／事業所数" totalsRowFunction="sum" totalsRowDxfId="22" dataCellStyle="桁区切り"/>
    <tableColumn id="15" name="法人／構成比" dataDxfId="21"/>
    <tableColumn id="16" name="法人以外の団体／事業所数" totalsRowFunction="sum" totalsRowDxfId="20" dataCellStyle="桁区切り"/>
  </tableColumns>
  <tableStyleInfo name="TableStyleMedium9" showFirstColumn="0" showLastColumn="0" showRowStripes="1" showColumnStripes="0"/>
</table>
</file>

<file path=xl/tables/table198.xml><?xml version="1.0" encoding="utf-8"?>
<table xmlns="http://schemas.openxmlformats.org/spreadsheetml/2006/main" id="198" name="LABTBL_28585" displayName="LABTBL_2858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9.xml><?xml version="1.0" encoding="utf-8"?>
<table xmlns="http://schemas.openxmlformats.org/spreadsheetml/2006/main" id="199" name="M_TABLE_ti.28585" displayName="M_TABLE_ti.28585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19"/>
    <tableColumn id="12" name="個人／事業所数" dataCellStyle="桁区切り"/>
    <tableColumn id="13" name="個人／構成比" dataDxfId="18"/>
    <tableColumn id="14" name="法人／事業所数" dataCellStyle="桁区切り"/>
    <tableColumn id="15" name="法人／構成比" dataDxfId="1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LABTBL_28000" displayName="LABTBL_2800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.xml><?xml version="1.0" encoding="utf-8"?>
<table xmlns="http://schemas.openxmlformats.org/spreadsheetml/2006/main" id="20" name="S_TABLE_ti.28105" displayName="S_TABLE_ti.28105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46"/>
    <tableColumn id="12" name="個人／事業所数" dataCellStyle="桁区切り"/>
    <tableColumn id="13" name="個人／構成比" dataDxfId="645"/>
    <tableColumn id="14" name="法人／事業所数" dataCellStyle="桁区切り"/>
    <tableColumn id="15" name="法人／構成比" dataDxfId="64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0.xml><?xml version="1.0" encoding="utf-8"?>
<table xmlns="http://schemas.openxmlformats.org/spreadsheetml/2006/main" id="200" name="S_TABLE_ti.28585" displayName="S_TABLE_ti.28585" ref="B54:I74" totalsRowShown="0">
  <autoFilter ref="B54:I74"/>
  <tableColumns count="8">
    <tableColumn id="9" name="産業小分類上位２０"/>
    <tableColumn id="10" name="総数／事業所数" dataCellStyle="桁区切り"/>
    <tableColumn id="11" name="総数／構成比" dataDxfId="16"/>
    <tableColumn id="12" name="個人／事業所数" dataCellStyle="桁区切り"/>
    <tableColumn id="13" name="個人／構成比" dataDxfId="15"/>
    <tableColumn id="14" name="法人／事業所数" dataCellStyle="桁区切り"/>
    <tableColumn id="15" name="法人／構成比" dataDxfId="1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1.xml><?xml version="1.0" encoding="utf-8"?>
<table xmlns="http://schemas.openxmlformats.org/spreadsheetml/2006/main" id="201" name="LTBL_28586" displayName="LTBL_28586" ref="B4:I20" totalsRowCount="1">
  <autoFilter ref="B4:I19"/>
  <tableColumns count="8">
    <tableColumn id="9" name="産業大分類" totalsRowLabel="合計" totalsRowDxfId="13"/>
    <tableColumn id="10" name="総数／事業所数" totalsRowFunction="custom" totalsRowDxfId="12" dataCellStyle="桁区切り">
      <totalsRowFormula>SUM(LTBL_28586[総数／事業所数])</totalsRowFormula>
    </tableColumn>
    <tableColumn id="11" name="総数／構成比" dataDxfId="11"/>
    <tableColumn id="12" name="個人／事業所数" totalsRowFunction="sum" totalsRowDxfId="10" dataCellStyle="桁区切り"/>
    <tableColumn id="13" name="個人／構成比" dataDxfId="9"/>
    <tableColumn id="14" name="法人／事業所数" totalsRowFunction="sum" totalsRowDxfId="8" dataCellStyle="桁区切り"/>
    <tableColumn id="15" name="法人／構成比" dataDxfId="7"/>
    <tableColumn id="16" name="法人以外の団体／事業所数" totalsRowFunction="sum" totalsRowDxfId="6" dataCellStyle="桁区切り"/>
  </tableColumns>
  <tableStyleInfo name="TableStyleMedium9" showFirstColumn="0" showLastColumn="0" showRowStripes="1" showColumnStripes="0"/>
</table>
</file>

<file path=xl/tables/table202.xml><?xml version="1.0" encoding="utf-8"?>
<table xmlns="http://schemas.openxmlformats.org/spreadsheetml/2006/main" id="202" name="LABTBL_28586" displayName="LABTBL_2858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3.xml><?xml version="1.0" encoding="utf-8"?>
<table xmlns="http://schemas.openxmlformats.org/spreadsheetml/2006/main" id="203" name="M_TABLE_ti.28586" displayName="M_TABLE_ti.28586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5"/>
    <tableColumn id="12" name="個人／事業所数" dataCellStyle="桁区切り"/>
    <tableColumn id="13" name="個人／構成比" dataDxfId="4"/>
    <tableColumn id="14" name="法人／事業所数" dataCellStyle="桁区切り"/>
    <tableColumn id="15" name="法人／構成比" dataDxfId="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4.xml><?xml version="1.0" encoding="utf-8"?>
<table xmlns="http://schemas.openxmlformats.org/spreadsheetml/2006/main" id="204" name="S_TABLE_ti.28586" displayName="S_TABLE_ti.28586" ref="B52:I74" totalsRowShown="0">
  <autoFilter ref="B52:I74"/>
  <tableColumns count="8">
    <tableColumn id="9" name="産業小分類上位２０"/>
    <tableColumn id="10" name="総数／事業所数" dataCellStyle="桁区切り"/>
    <tableColumn id="11" name="総数／構成比" dataDxfId="2"/>
    <tableColumn id="12" name="個人／事業所数" dataCellStyle="桁区切り"/>
    <tableColumn id="13" name="個人／構成比" dataDxfId="1"/>
    <tableColumn id="14" name="法人／事業所数" dataCellStyle="桁区切り"/>
    <tableColumn id="15" name="法人／構成比" dataDxfId="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LTBL_28106" displayName="LTBL_28106" ref="B4:I20" totalsRowCount="1">
  <autoFilter ref="B4:I19"/>
  <tableColumns count="8">
    <tableColumn id="9" name="産業大分類" totalsRowLabel="合計" totalsRowDxfId="643"/>
    <tableColumn id="10" name="総数／事業所数" totalsRowFunction="custom" totalsRowDxfId="642" dataCellStyle="桁区切り">
      <totalsRowFormula>SUM(LTBL_28106[総数／事業所数])</totalsRowFormula>
    </tableColumn>
    <tableColumn id="11" name="総数／構成比" dataDxfId="641"/>
    <tableColumn id="12" name="個人／事業所数" totalsRowFunction="sum" totalsRowDxfId="640" dataCellStyle="桁区切り"/>
    <tableColumn id="13" name="個人／構成比" dataDxfId="639"/>
    <tableColumn id="14" name="法人／事業所数" totalsRowFunction="sum" totalsRowDxfId="638" dataCellStyle="桁区切り"/>
    <tableColumn id="15" name="法人／構成比" dataDxfId="637"/>
    <tableColumn id="16" name="法人以外の団体／事業所数" totalsRowFunction="sum" totalsRowDxfId="636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LABTBL_28106" displayName="LABTBL_2810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.xml><?xml version="1.0" encoding="utf-8"?>
<table xmlns="http://schemas.openxmlformats.org/spreadsheetml/2006/main" id="23" name="M_TABLE_ti.28106" displayName="M_TABLE_ti.2810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35"/>
    <tableColumn id="12" name="個人／事業所数" dataCellStyle="桁区切り"/>
    <tableColumn id="13" name="個人／構成比" dataDxfId="634"/>
    <tableColumn id="14" name="法人／事業所数" dataCellStyle="桁区切り"/>
    <tableColumn id="15" name="法人／構成比" dataDxfId="63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S_TABLE_ti.28106" displayName="S_TABLE_ti.28106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32"/>
    <tableColumn id="12" name="個人／事業所数" dataCellStyle="桁区切り"/>
    <tableColumn id="13" name="個人／構成比" dataDxfId="631"/>
    <tableColumn id="14" name="法人／事業所数" dataCellStyle="桁区切り"/>
    <tableColumn id="15" name="法人／構成比" dataDxfId="63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LTBL_28107" displayName="LTBL_28107" ref="B4:I20" totalsRowCount="1">
  <autoFilter ref="B4:I19"/>
  <tableColumns count="8">
    <tableColumn id="9" name="産業大分類" totalsRowLabel="合計" totalsRowDxfId="629"/>
    <tableColumn id="10" name="総数／事業所数" totalsRowFunction="custom" totalsRowDxfId="628" dataCellStyle="桁区切り">
      <totalsRowFormula>SUM(LTBL_28107[総数／事業所数])</totalsRowFormula>
    </tableColumn>
    <tableColumn id="11" name="総数／構成比" dataDxfId="627"/>
    <tableColumn id="12" name="個人／事業所数" totalsRowFunction="sum" totalsRowDxfId="626" dataCellStyle="桁区切り"/>
    <tableColumn id="13" name="個人／構成比" dataDxfId="625"/>
    <tableColumn id="14" name="法人／事業所数" totalsRowFunction="sum" totalsRowDxfId="624" dataCellStyle="桁区切り"/>
    <tableColumn id="15" name="法人／構成比" dataDxfId="623"/>
    <tableColumn id="16" name="法人以外の団体／事業所数" totalsRowFunction="sum" totalsRowDxfId="622" data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LABTBL_28107" displayName="LABTBL_2810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7.xml><?xml version="1.0" encoding="utf-8"?>
<table xmlns="http://schemas.openxmlformats.org/spreadsheetml/2006/main" id="27" name="M_TABLE_ti.28107" displayName="M_TABLE_ti.2810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21"/>
    <tableColumn id="12" name="個人／事業所数" dataCellStyle="桁区切り"/>
    <tableColumn id="13" name="個人／構成比" dataDxfId="620"/>
    <tableColumn id="14" name="法人／事業所数" dataCellStyle="桁区切り"/>
    <tableColumn id="15" name="法人／構成比" dataDxfId="61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S_TABLE_ti.28107" displayName="S_TABLE_ti.28107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618"/>
    <tableColumn id="12" name="個人／事業所数" dataCellStyle="桁区切り"/>
    <tableColumn id="13" name="個人／構成比" dataDxfId="617"/>
    <tableColumn id="14" name="法人／事業所数" dataCellStyle="桁区切り"/>
    <tableColumn id="15" name="法人／構成比" dataDxfId="61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LTBL_28108" displayName="LTBL_28108" ref="B4:I20" totalsRowCount="1">
  <autoFilter ref="B4:I19"/>
  <tableColumns count="8">
    <tableColumn id="9" name="産業大分類" totalsRowLabel="合計" totalsRowDxfId="615"/>
    <tableColumn id="10" name="総数／事業所数" totalsRowFunction="custom" totalsRowDxfId="614" dataCellStyle="桁区切り">
      <totalsRowFormula>SUM(LTBL_28108[総数／事業所数])</totalsRowFormula>
    </tableColumn>
    <tableColumn id="11" name="総数／構成比" dataDxfId="613"/>
    <tableColumn id="12" name="個人／事業所数" totalsRowFunction="sum" totalsRowDxfId="612" dataCellStyle="桁区切り"/>
    <tableColumn id="13" name="個人／構成比" dataDxfId="611"/>
    <tableColumn id="14" name="法人／事業所数" totalsRowFunction="sum" totalsRowDxfId="610" dataCellStyle="桁区切り"/>
    <tableColumn id="15" name="法人／構成比" dataDxfId="609"/>
    <tableColumn id="16" name="法人以外の団体／事業所数" totalsRowFunction="sum" totalsRowDxfId="608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M_TABLE_ti.28000" displayName="M_TABLE_ti.2800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05"/>
    <tableColumn id="12" name="個人／事業所数" dataCellStyle="桁区切り"/>
    <tableColumn id="13" name="個人／構成比" dataDxfId="704"/>
    <tableColumn id="14" name="法人／事業所数" dataCellStyle="桁区切り"/>
    <tableColumn id="15" name="法人／構成比" dataDxfId="70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0" name="LABTBL_28108" displayName="LABTBL_2810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1.xml><?xml version="1.0" encoding="utf-8"?>
<table xmlns="http://schemas.openxmlformats.org/spreadsheetml/2006/main" id="31" name="M_TABLE_ti.28108" displayName="M_TABLE_ti.2810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07"/>
    <tableColumn id="12" name="個人／事業所数" dataCellStyle="桁区切り"/>
    <tableColumn id="13" name="個人／構成比" dataDxfId="606"/>
    <tableColumn id="14" name="法人／事業所数" dataCellStyle="桁区切り"/>
    <tableColumn id="15" name="法人／構成比" dataDxfId="60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2" name="S_TABLE_ti.28108" displayName="S_TABLE_ti.28108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04"/>
    <tableColumn id="12" name="個人／事業所数" dataCellStyle="桁区切り"/>
    <tableColumn id="13" name="個人／構成比" dataDxfId="603"/>
    <tableColumn id="14" name="法人／事業所数" dataCellStyle="桁区切り"/>
    <tableColumn id="15" name="法人／構成比" dataDxfId="60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3" name="LTBL_28109" displayName="LTBL_28109" ref="B4:I20" totalsRowCount="1">
  <autoFilter ref="B4:I19"/>
  <tableColumns count="8">
    <tableColumn id="9" name="産業大分類" totalsRowLabel="合計" totalsRowDxfId="601"/>
    <tableColumn id="10" name="総数／事業所数" totalsRowFunction="custom" totalsRowDxfId="600" dataCellStyle="桁区切り">
      <totalsRowFormula>SUM(LTBL_28109[総数／事業所数])</totalsRowFormula>
    </tableColumn>
    <tableColumn id="11" name="総数／構成比" dataDxfId="599"/>
    <tableColumn id="12" name="個人／事業所数" totalsRowFunction="sum" totalsRowDxfId="598" dataCellStyle="桁区切り"/>
    <tableColumn id="13" name="個人／構成比" dataDxfId="597"/>
    <tableColumn id="14" name="法人／事業所数" totalsRowFunction="sum" totalsRowDxfId="596" dataCellStyle="桁区切り"/>
    <tableColumn id="15" name="法人／構成比" dataDxfId="595"/>
    <tableColumn id="16" name="法人以外の団体／事業所数" totalsRowFunction="sum" totalsRowDxfId="594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4" name="LABTBL_28109" displayName="LABTBL_2810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5.xml><?xml version="1.0" encoding="utf-8"?>
<table xmlns="http://schemas.openxmlformats.org/spreadsheetml/2006/main" id="35" name="M_TABLE_ti.28109" displayName="M_TABLE_ti.28109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593"/>
    <tableColumn id="12" name="個人／事業所数" dataCellStyle="桁区切り"/>
    <tableColumn id="13" name="個人／構成比" dataDxfId="592"/>
    <tableColumn id="14" name="法人／事業所数" dataCellStyle="桁区切り"/>
    <tableColumn id="15" name="法人／構成比" dataDxfId="59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6" name="S_TABLE_ti.28109" displayName="S_TABLE_ti.28109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590"/>
    <tableColumn id="12" name="個人／事業所数" dataCellStyle="桁区切り"/>
    <tableColumn id="13" name="個人／構成比" dataDxfId="589"/>
    <tableColumn id="14" name="法人／事業所数" dataCellStyle="桁区切り"/>
    <tableColumn id="15" name="法人／構成比" dataDxfId="58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7" name="LTBL_28110" displayName="LTBL_28110" ref="B4:I20" totalsRowCount="1">
  <autoFilter ref="B4:I19"/>
  <tableColumns count="8">
    <tableColumn id="9" name="産業大分類" totalsRowLabel="合計" totalsRowDxfId="587"/>
    <tableColumn id="10" name="総数／事業所数" totalsRowFunction="custom" totalsRowDxfId="586" dataCellStyle="桁区切り">
      <totalsRowFormula>SUM(LTBL_28110[総数／事業所数])</totalsRowFormula>
    </tableColumn>
    <tableColumn id="11" name="総数／構成比" dataDxfId="585"/>
    <tableColumn id="12" name="個人／事業所数" totalsRowFunction="sum" totalsRowDxfId="584" dataCellStyle="桁区切り"/>
    <tableColumn id="13" name="個人／構成比" dataDxfId="583"/>
    <tableColumn id="14" name="法人／事業所数" totalsRowFunction="sum" totalsRowDxfId="582" dataCellStyle="桁区切り"/>
    <tableColumn id="15" name="法人／構成比" dataDxfId="581"/>
    <tableColumn id="16" name="法人以外の団体／事業所数" totalsRowFunction="sum" totalsRowDxfId="580" data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38" name="LABTBL_28110" displayName="LABTBL_2811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9.xml><?xml version="1.0" encoding="utf-8"?>
<table xmlns="http://schemas.openxmlformats.org/spreadsheetml/2006/main" id="39" name="M_TABLE_ti.28110" displayName="M_TABLE_ti.2811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79"/>
    <tableColumn id="12" name="個人／事業所数" dataCellStyle="桁区切り"/>
    <tableColumn id="13" name="個人／構成比" dataDxfId="578"/>
    <tableColumn id="14" name="法人／事業所数" dataCellStyle="桁区切り"/>
    <tableColumn id="15" name="法人／構成比" dataDxfId="57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S_TABLE_ti.28000" displayName="S_TABLE_ti.2800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702"/>
    <tableColumn id="12" name="個人／事業所数" dataCellStyle="桁区切り"/>
    <tableColumn id="13" name="個人／構成比" dataDxfId="701"/>
    <tableColumn id="14" name="法人／事業所数" dataCellStyle="桁区切り"/>
    <tableColumn id="15" name="法人／構成比" dataDxfId="70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0" name="S_TABLE_ti.28110" displayName="S_TABLE_ti.2811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76"/>
    <tableColumn id="12" name="個人／事業所数" dataCellStyle="桁区切り"/>
    <tableColumn id="13" name="個人／構成比" dataDxfId="575"/>
    <tableColumn id="14" name="法人／事業所数" dataCellStyle="桁区切り"/>
    <tableColumn id="15" name="法人／構成比" dataDxfId="57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1" name="LTBL_28111" displayName="LTBL_28111" ref="B4:I20" totalsRowCount="1">
  <autoFilter ref="B4:I19"/>
  <tableColumns count="8">
    <tableColumn id="9" name="産業大分類" totalsRowLabel="合計" totalsRowDxfId="573"/>
    <tableColumn id="10" name="総数／事業所数" totalsRowFunction="custom" totalsRowDxfId="572" dataCellStyle="桁区切り">
      <totalsRowFormula>SUM(LTBL_28111[総数／事業所数])</totalsRowFormula>
    </tableColumn>
    <tableColumn id="11" name="総数／構成比" dataDxfId="571"/>
    <tableColumn id="12" name="個人／事業所数" totalsRowFunction="sum" totalsRowDxfId="570" dataCellStyle="桁区切り"/>
    <tableColumn id="13" name="個人／構成比" dataDxfId="569"/>
    <tableColumn id="14" name="法人／事業所数" totalsRowFunction="sum" totalsRowDxfId="568" dataCellStyle="桁区切り"/>
    <tableColumn id="15" name="法人／構成比" dataDxfId="567"/>
    <tableColumn id="16" name="法人以外の団体／事業所数" totalsRowFunction="sum" totalsRowDxfId="566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42" name="LABTBL_28111" displayName="LABTBL_2811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3.xml><?xml version="1.0" encoding="utf-8"?>
<table xmlns="http://schemas.openxmlformats.org/spreadsheetml/2006/main" id="43" name="M_TABLE_ti.28111" displayName="M_TABLE_ti.2811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65"/>
    <tableColumn id="12" name="個人／事業所数" dataCellStyle="桁区切り"/>
    <tableColumn id="13" name="個人／構成比" dataDxfId="564"/>
    <tableColumn id="14" name="法人／事業所数" dataCellStyle="桁区切り"/>
    <tableColumn id="15" name="法人／構成比" dataDxfId="56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4" name="S_TABLE_ti.28111" displayName="S_TABLE_ti.2811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62"/>
    <tableColumn id="12" name="個人／事業所数" dataCellStyle="桁区切り"/>
    <tableColumn id="13" name="個人／構成比" dataDxfId="561"/>
    <tableColumn id="14" name="法人／事業所数" dataCellStyle="桁区切り"/>
    <tableColumn id="15" name="法人／構成比" dataDxfId="56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5" name="LTBL_28201" displayName="LTBL_28201" ref="B4:I20" totalsRowCount="1">
  <autoFilter ref="B4:I19"/>
  <tableColumns count="8">
    <tableColumn id="9" name="産業大分類" totalsRowLabel="合計" totalsRowDxfId="559"/>
    <tableColumn id="10" name="総数／事業所数" totalsRowFunction="custom" totalsRowDxfId="558" dataCellStyle="桁区切り">
      <totalsRowFormula>SUM(LTBL_28201[総数／事業所数])</totalsRowFormula>
    </tableColumn>
    <tableColumn id="11" name="総数／構成比" dataDxfId="557"/>
    <tableColumn id="12" name="個人／事業所数" totalsRowFunction="sum" totalsRowDxfId="556" dataCellStyle="桁区切り"/>
    <tableColumn id="13" name="個人／構成比" dataDxfId="555"/>
    <tableColumn id="14" name="法人／事業所数" totalsRowFunction="sum" totalsRowDxfId="554" dataCellStyle="桁区切り"/>
    <tableColumn id="15" name="法人／構成比" dataDxfId="553"/>
    <tableColumn id="16" name="法人以外の団体／事業所数" totalsRowFunction="sum" totalsRowDxfId="552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46" name="LABTBL_28201" displayName="LABTBL_282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7.xml><?xml version="1.0" encoding="utf-8"?>
<table xmlns="http://schemas.openxmlformats.org/spreadsheetml/2006/main" id="47" name="M_TABLE_ti.28201" displayName="M_TABLE_ti.2820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51"/>
    <tableColumn id="12" name="個人／事業所数" dataCellStyle="桁区切り"/>
    <tableColumn id="13" name="個人／構成比" dataDxfId="550"/>
    <tableColumn id="14" name="法人／事業所数" dataCellStyle="桁区切り"/>
    <tableColumn id="15" name="法人／構成比" dataDxfId="54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48" name="S_TABLE_ti.28201" displayName="S_TABLE_ti.2820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48"/>
    <tableColumn id="12" name="個人／事業所数" dataCellStyle="桁区切り"/>
    <tableColumn id="13" name="個人／構成比" dataDxfId="547"/>
    <tableColumn id="14" name="法人／事業所数" dataCellStyle="桁区切り"/>
    <tableColumn id="15" name="法人／構成比" dataDxfId="54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49" name="LTBL_28202" displayName="LTBL_28202" ref="B4:I20" totalsRowCount="1">
  <autoFilter ref="B4:I19"/>
  <tableColumns count="8">
    <tableColumn id="9" name="産業大分類" totalsRowLabel="合計" totalsRowDxfId="545"/>
    <tableColumn id="10" name="総数／事業所数" totalsRowFunction="custom" totalsRowDxfId="544" dataCellStyle="桁区切り">
      <totalsRowFormula>SUM(LTBL_28202[総数／事業所数])</totalsRowFormula>
    </tableColumn>
    <tableColumn id="11" name="総数／構成比" dataDxfId="543"/>
    <tableColumn id="12" name="個人／事業所数" totalsRowFunction="sum" totalsRowDxfId="542" dataCellStyle="桁区切り"/>
    <tableColumn id="13" name="個人／構成比" dataDxfId="541"/>
    <tableColumn id="14" name="法人／事業所数" totalsRowFunction="sum" totalsRowDxfId="540" dataCellStyle="桁区切り"/>
    <tableColumn id="15" name="法人／構成比" dataDxfId="539"/>
    <tableColumn id="16" name="法人以外の団体／事業所数" totalsRowFunction="sum" totalsRowDxfId="538" data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LTBL_28100" displayName="LTBL_28100" ref="B4:I20" totalsRowCount="1">
  <autoFilter ref="B4:I19"/>
  <tableColumns count="8">
    <tableColumn id="9" name="産業大分類" totalsRowLabel="合計" totalsRowDxfId="699"/>
    <tableColumn id="10" name="総数／事業所数" totalsRowFunction="custom" totalsRowDxfId="698" dataCellStyle="桁区切り">
      <totalsRowFormula>SUM(LTBL_28100[総数／事業所数])</totalsRowFormula>
    </tableColumn>
    <tableColumn id="11" name="総数／構成比" dataDxfId="697"/>
    <tableColumn id="12" name="個人／事業所数" totalsRowFunction="sum" totalsRowDxfId="696" dataCellStyle="桁区切り"/>
    <tableColumn id="13" name="個人／構成比" dataDxfId="695"/>
    <tableColumn id="14" name="法人／事業所数" totalsRowFunction="sum" totalsRowDxfId="694" dataCellStyle="桁区切り"/>
    <tableColumn id="15" name="法人／構成比" dataDxfId="693"/>
    <tableColumn id="16" name="法人以外の団体／事業所数" totalsRowFunction="sum" totalsRowDxfId="692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50" name="LABTBL_28202" displayName="LABTBL_282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1.xml><?xml version="1.0" encoding="utf-8"?>
<table xmlns="http://schemas.openxmlformats.org/spreadsheetml/2006/main" id="51" name="M_TABLE_ti.28202" displayName="M_TABLE_ti.2820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37"/>
    <tableColumn id="12" name="個人／事業所数" dataCellStyle="桁区切り"/>
    <tableColumn id="13" name="個人／構成比" dataDxfId="536"/>
    <tableColumn id="14" name="法人／事業所数" dataCellStyle="桁区切り"/>
    <tableColumn id="15" name="法人／構成比" dataDxfId="53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52" name="S_TABLE_ti.28202" displayName="S_TABLE_ti.2820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34"/>
    <tableColumn id="12" name="個人／事業所数" dataCellStyle="桁区切り"/>
    <tableColumn id="13" name="個人／構成比" dataDxfId="533"/>
    <tableColumn id="14" name="法人／事業所数" dataCellStyle="桁区切り"/>
    <tableColumn id="15" name="法人／構成比" dataDxfId="53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53" name="LTBL_28203" displayName="LTBL_28203" ref="B4:I20" totalsRowCount="1">
  <autoFilter ref="B4:I19"/>
  <tableColumns count="8">
    <tableColumn id="9" name="産業大分類" totalsRowLabel="合計" totalsRowDxfId="531"/>
    <tableColumn id="10" name="総数／事業所数" totalsRowFunction="custom" totalsRowDxfId="530" dataCellStyle="桁区切り">
      <totalsRowFormula>SUM(LTBL_28203[総数／事業所数])</totalsRowFormula>
    </tableColumn>
    <tableColumn id="11" name="総数／構成比" dataDxfId="529"/>
    <tableColumn id="12" name="個人／事業所数" totalsRowFunction="sum" totalsRowDxfId="528" dataCellStyle="桁区切り"/>
    <tableColumn id="13" name="個人／構成比" dataDxfId="527"/>
    <tableColumn id="14" name="法人／事業所数" totalsRowFunction="sum" totalsRowDxfId="526" dataCellStyle="桁区切り"/>
    <tableColumn id="15" name="法人／構成比" dataDxfId="525"/>
    <tableColumn id="16" name="法人以外の団体／事業所数" totalsRowFunction="sum" totalsRowDxfId="524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54" name="LABTBL_28203" displayName="LABTBL_282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5.xml><?xml version="1.0" encoding="utf-8"?>
<table xmlns="http://schemas.openxmlformats.org/spreadsheetml/2006/main" id="55" name="M_TABLE_ti.28203" displayName="M_TABLE_ti.2820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23"/>
    <tableColumn id="12" name="個人／事業所数" dataCellStyle="桁区切り"/>
    <tableColumn id="13" name="個人／構成比" dataDxfId="522"/>
    <tableColumn id="14" name="法人／事業所数" dataCellStyle="桁区切り"/>
    <tableColumn id="15" name="法人／構成比" dataDxfId="52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56" name="S_TABLE_ti.28203" displayName="S_TABLE_ti.2820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20"/>
    <tableColumn id="12" name="個人／事業所数" dataCellStyle="桁区切り"/>
    <tableColumn id="13" name="個人／構成比" dataDxfId="519"/>
    <tableColumn id="14" name="法人／事業所数" dataCellStyle="桁区切り"/>
    <tableColumn id="15" name="法人／構成比" dataDxfId="51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57" name="LTBL_28204" displayName="LTBL_28204" ref="B4:I20" totalsRowCount="1">
  <autoFilter ref="B4:I19"/>
  <tableColumns count="8">
    <tableColumn id="9" name="産業大分類" totalsRowLabel="合計" totalsRowDxfId="517"/>
    <tableColumn id="10" name="総数／事業所数" totalsRowFunction="custom" totalsRowDxfId="516" dataCellStyle="桁区切り">
      <totalsRowFormula>SUM(LTBL_28204[総数／事業所数])</totalsRowFormula>
    </tableColumn>
    <tableColumn id="11" name="総数／構成比" dataDxfId="515"/>
    <tableColumn id="12" name="個人／事業所数" totalsRowFunction="sum" totalsRowDxfId="514" dataCellStyle="桁区切り"/>
    <tableColumn id="13" name="個人／構成比" dataDxfId="513"/>
    <tableColumn id="14" name="法人／事業所数" totalsRowFunction="sum" totalsRowDxfId="512" dataCellStyle="桁区切り"/>
    <tableColumn id="15" name="法人／構成比" dataDxfId="511"/>
    <tableColumn id="16" name="法人以外の団体／事業所数" totalsRowFunction="sum" totalsRowDxfId="510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58" name="LABTBL_28204" displayName="LABTBL_282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9.xml><?xml version="1.0" encoding="utf-8"?>
<table xmlns="http://schemas.openxmlformats.org/spreadsheetml/2006/main" id="59" name="M_TABLE_ti.28204" displayName="M_TABLE_ti.2820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09"/>
    <tableColumn id="12" name="個人／事業所数" dataCellStyle="桁区切り"/>
    <tableColumn id="13" name="個人／構成比" dataDxfId="508"/>
    <tableColumn id="14" name="法人／事業所数" dataCellStyle="桁区切り"/>
    <tableColumn id="15" name="法人／構成比" dataDxfId="50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LABTBL_28100" displayName="LABTBL_2810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0.xml><?xml version="1.0" encoding="utf-8"?>
<table xmlns="http://schemas.openxmlformats.org/spreadsheetml/2006/main" id="60" name="S_TABLE_ti.28204" displayName="S_TABLE_ti.28204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06"/>
    <tableColumn id="12" name="個人／事業所数" dataCellStyle="桁区切り"/>
    <tableColumn id="13" name="個人／構成比" dataDxfId="505"/>
    <tableColumn id="14" name="法人／事業所数" dataCellStyle="桁区切り"/>
    <tableColumn id="15" name="法人／構成比" dataDxfId="50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61" name="LTBL_28205" displayName="LTBL_28205" ref="B4:I20" totalsRowCount="1">
  <autoFilter ref="B4:I19"/>
  <tableColumns count="8">
    <tableColumn id="9" name="産業大分類" totalsRowLabel="合計" totalsRowDxfId="503"/>
    <tableColumn id="10" name="総数／事業所数" totalsRowFunction="custom" totalsRowDxfId="502" dataCellStyle="桁区切り">
      <totalsRowFormula>SUM(LTBL_28205[総数／事業所数])</totalsRowFormula>
    </tableColumn>
    <tableColumn id="11" name="総数／構成比" dataDxfId="501"/>
    <tableColumn id="12" name="個人／事業所数" totalsRowFunction="sum" totalsRowDxfId="500" dataCellStyle="桁区切り"/>
    <tableColumn id="13" name="個人／構成比" dataDxfId="499"/>
    <tableColumn id="14" name="法人／事業所数" totalsRowFunction="sum" totalsRowDxfId="498" dataCellStyle="桁区切り"/>
    <tableColumn id="15" name="法人／構成比" dataDxfId="497"/>
    <tableColumn id="16" name="法人以外の団体／事業所数" totalsRowFunction="sum" totalsRowDxfId="496" data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id="62" name="LABTBL_28205" displayName="LABTBL_282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3.xml><?xml version="1.0" encoding="utf-8"?>
<table xmlns="http://schemas.openxmlformats.org/spreadsheetml/2006/main" id="63" name="M_TABLE_ti.28205" displayName="M_TABLE_ti.2820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95"/>
    <tableColumn id="12" name="個人／事業所数" dataCellStyle="桁区切り"/>
    <tableColumn id="13" name="個人／構成比" dataDxfId="494"/>
    <tableColumn id="14" name="法人／事業所数" dataCellStyle="桁区切り"/>
    <tableColumn id="15" name="法人／構成比" dataDxfId="49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id="64" name="S_TABLE_ti.28205" displayName="S_TABLE_ti.28205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92"/>
    <tableColumn id="12" name="個人／事業所数" dataCellStyle="桁区切り"/>
    <tableColumn id="13" name="個人／構成比" dataDxfId="491"/>
    <tableColumn id="14" name="法人／事業所数" dataCellStyle="桁区切り"/>
    <tableColumn id="15" name="法人／構成比" dataDxfId="49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id="65" name="LTBL_28206" displayName="LTBL_28206" ref="B4:I20" totalsRowCount="1">
  <autoFilter ref="B4:I19"/>
  <tableColumns count="8">
    <tableColumn id="9" name="産業大分類" totalsRowLabel="合計" totalsRowDxfId="489"/>
    <tableColumn id="10" name="総数／事業所数" totalsRowFunction="custom" totalsRowDxfId="488" dataCellStyle="桁区切り">
      <totalsRowFormula>SUM(LTBL_28206[総数／事業所数])</totalsRowFormula>
    </tableColumn>
    <tableColumn id="11" name="総数／構成比" dataDxfId="487"/>
    <tableColumn id="12" name="個人／事業所数" totalsRowFunction="sum" totalsRowDxfId="486" dataCellStyle="桁区切り"/>
    <tableColumn id="13" name="個人／構成比" dataDxfId="485"/>
    <tableColumn id="14" name="法人／事業所数" totalsRowFunction="sum" totalsRowDxfId="484" dataCellStyle="桁区切り"/>
    <tableColumn id="15" name="法人／構成比" dataDxfId="483"/>
    <tableColumn id="16" name="法人以外の団体／事業所数" totalsRowFunction="sum" totalsRowDxfId="482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id="66" name="LABTBL_28206" displayName="LABTBL_2820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7.xml><?xml version="1.0" encoding="utf-8"?>
<table xmlns="http://schemas.openxmlformats.org/spreadsheetml/2006/main" id="67" name="M_TABLE_ti.28206" displayName="M_TABLE_ti.2820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81"/>
    <tableColumn id="12" name="個人／事業所数" dataCellStyle="桁区切り"/>
    <tableColumn id="13" name="個人／構成比" dataDxfId="480"/>
    <tableColumn id="14" name="法人／事業所数" dataCellStyle="桁区切り"/>
    <tableColumn id="15" name="法人／構成比" dataDxfId="47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id="68" name="S_TABLE_ti.28206" displayName="S_TABLE_ti.28206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478"/>
    <tableColumn id="12" name="個人／事業所数" dataCellStyle="桁区切り"/>
    <tableColumn id="13" name="個人／構成比" dataDxfId="477"/>
    <tableColumn id="14" name="法人／事業所数" dataCellStyle="桁区切り"/>
    <tableColumn id="15" name="法人／構成比" dataDxfId="47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id="69" name="LTBL_28207" displayName="LTBL_28207" ref="B4:I20" totalsRowCount="1">
  <autoFilter ref="B4:I19"/>
  <tableColumns count="8">
    <tableColumn id="9" name="産業大分類" totalsRowLabel="合計" totalsRowDxfId="475"/>
    <tableColumn id="10" name="総数／事業所数" totalsRowFunction="custom" totalsRowDxfId="474" dataCellStyle="桁区切り">
      <totalsRowFormula>SUM(LTBL_28207[総数／事業所数])</totalsRowFormula>
    </tableColumn>
    <tableColumn id="11" name="総数／構成比" dataDxfId="473"/>
    <tableColumn id="12" name="個人／事業所数" totalsRowFunction="sum" totalsRowDxfId="472" dataCellStyle="桁区切り"/>
    <tableColumn id="13" name="個人／構成比" dataDxfId="471"/>
    <tableColumn id="14" name="法人／事業所数" totalsRowFunction="sum" totalsRowDxfId="470" dataCellStyle="桁区切り"/>
    <tableColumn id="15" name="法人／構成比" dataDxfId="469"/>
    <tableColumn id="16" name="法人以外の団体／事業所数" totalsRowFunction="sum" totalsRowDxfId="468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M_TABLE_ti.28100" displayName="M_TABLE_ti.2810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91"/>
    <tableColumn id="12" name="個人／事業所数" dataCellStyle="桁区切り"/>
    <tableColumn id="13" name="個人／構成比" dataDxfId="690"/>
    <tableColumn id="14" name="法人／事業所数" dataCellStyle="桁区切り"/>
    <tableColumn id="15" name="法人／構成比" dataDxfId="68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id="70" name="LABTBL_28207" displayName="LABTBL_2820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1.xml><?xml version="1.0" encoding="utf-8"?>
<table xmlns="http://schemas.openxmlformats.org/spreadsheetml/2006/main" id="71" name="M_TABLE_ti.28207" displayName="M_TABLE_ti.2820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67"/>
    <tableColumn id="12" name="個人／事業所数" dataCellStyle="桁区切り"/>
    <tableColumn id="13" name="個人／構成比" dataDxfId="466"/>
    <tableColumn id="14" name="法人／事業所数" dataCellStyle="桁区切り"/>
    <tableColumn id="15" name="法人／構成比" dataDxfId="46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id="72" name="S_TABLE_ti.28207" displayName="S_TABLE_ti.28207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64"/>
    <tableColumn id="12" name="個人／事業所数" dataCellStyle="桁区切り"/>
    <tableColumn id="13" name="個人／構成比" dataDxfId="463"/>
    <tableColumn id="14" name="法人／事業所数" dataCellStyle="桁区切り"/>
    <tableColumn id="15" name="法人／構成比" dataDxfId="46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id="73" name="LTBL_28208" displayName="LTBL_28208" ref="B4:I20" totalsRowCount="1">
  <autoFilter ref="B4:I19"/>
  <tableColumns count="8">
    <tableColumn id="9" name="産業大分類" totalsRowLabel="合計" totalsRowDxfId="461"/>
    <tableColumn id="10" name="総数／事業所数" totalsRowFunction="custom" totalsRowDxfId="460" dataCellStyle="桁区切り">
      <totalsRowFormula>SUM(LTBL_28208[総数／事業所数])</totalsRowFormula>
    </tableColumn>
    <tableColumn id="11" name="総数／構成比" dataDxfId="459"/>
    <tableColumn id="12" name="個人／事業所数" totalsRowFunction="sum" totalsRowDxfId="458" dataCellStyle="桁区切り"/>
    <tableColumn id="13" name="個人／構成比" dataDxfId="457"/>
    <tableColumn id="14" name="法人／事業所数" totalsRowFunction="sum" totalsRowDxfId="456" dataCellStyle="桁区切り"/>
    <tableColumn id="15" name="法人／構成比" dataDxfId="455"/>
    <tableColumn id="16" name="法人以外の団体／事業所数" totalsRowFunction="sum" totalsRowDxfId="454" data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id="74" name="LABTBL_28208" displayName="LABTBL_2820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5.xml><?xml version="1.0" encoding="utf-8"?>
<table xmlns="http://schemas.openxmlformats.org/spreadsheetml/2006/main" id="75" name="M_TABLE_ti.28208" displayName="M_TABLE_ti.2820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53"/>
    <tableColumn id="12" name="個人／事業所数" dataCellStyle="桁区切り"/>
    <tableColumn id="13" name="個人／構成比" dataDxfId="452"/>
    <tableColumn id="14" name="法人／事業所数" dataCellStyle="桁区切り"/>
    <tableColumn id="15" name="法人／構成比" dataDxfId="45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id="76" name="S_TABLE_ti.28208" displayName="S_TABLE_ti.28208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450"/>
    <tableColumn id="12" name="個人／事業所数" dataCellStyle="桁区切り"/>
    <tableColumn id="13" name="個人／構成比" dataDxfId="449"/>
    <tableColumn id="14" name="法人／事業所数" dataCellStyle="桁区切り"/>
    <tableColumn id="15" name="法人／構成比" dataDxfId="44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id="77" name="LTBL_28209" displayName="LTBL_28209" ref="B4:I20" totalsRowCount="1">
  <autoFilter ref="B4:I19"/>
  <tableColumns count="8">
    <tableColumn id="9" name="産業大分類" totalsRowLabel="合計" totalsRowDxfId="447"/>
    <tableColumn id="10" name="総数／事業所数" totalsRowFunction="custom" totalsRowDxfId="446" dataCellStyle="桁区切り">
      <totalsRowFormula>SUM(LTBL_28209[総数／事業所数])</totalsRowFormula>
    </tableColumn>
    <tableColumn id="11" name="総数／構成比" dataDxfId="445"/>
    <tableColumn id="12" name="個人／事業所数" totalsRowFunction="sum" totalsRowDxfId="444" dataCellStyle="桁区切り"/>
    <tableColumn id="13" name="個人／構成比" dataDxfId="443"/>
    <tableColumn id="14" name="法人／事業所数" totalsRowFunction="sum" totalsRowDxfId="442" dataCellStyle="桁区切り"/>
    <tableColumn id="15" name="法人／構成比" dataDxfId="441"/>
    <tableColumn id="16" name="法人以外の団体／事業所数" totalsRowFunction="sum" totalsRowDxfId="440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id="78" name="LABTBL_28209" displayName="LABTBL_2820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9.xml><?xml version="1.0" encoding="utf-8"?>
<table xmlns="http://schemas.openxmlformats.org/spreadsheetml/2006/main" id="79" name="M_TABLE_ti.28209" displayName="M_TABLE_ti.28209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439"/>
    <tableColumn id="12" name="個人／事業所数" dataCellStyle="桁区切り"/>
    <tableColumn id="13" name="個人／構成比" dataDxfId="438"/>
    <tableColumn id="14" name="法人／事業所数" dataCellStyle="桁区切り"/>
    <tableColumn id="15" name="法人／構成比" dataDxfId="43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S_TABLE_ti.28100" displayName="S_TABLE_ti.28100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688"/>
    <tableColumn id="12" name="個人／事業所数" dataCellStyle="桁区切り"/>
    <tableColumn id="13" name="個人／構成比" dataDxfId="687"/>
    <tableColumn id="14" name="法人／事業所数" dataCellStyle="桁区切り"/>
    <tableColumn id="15" name="法人／構成比" dataDxfId="68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id="80" name="S_TABLE_ti.28209" displayName="S_TABLE_ti.28209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436"/>
    <tableColumn id="12" name="個人／事業所数" dataCellStyle="桁区切り"/>
    <tableColumn id="13" name="個人／構成比" dataDxfId="435"/>
    <tableColumn id="14" name="法人／事業所数" dataCellStyle="桁区切り"/>
    <tableColumn id="15" name="法人／構成比" dataDxfId="43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id="81" name="LTBL_28210" displayName="LTBL_28210" ref="B4:I20" totalsRowCount="1">
  <autoFilter ref="B4:I19"/>
  <tableColumns count="8">
    <tableColumn id="9" name="産業大分類" totalsRowLabel="合計" totalsRowDxfId="433"/>
    <tableColumn id="10" name="総数／事業所数" totalsRowFunction="custom" totalsRowDxfId="432" dataCellStyle="桁区切り">
      <totalsRowFormula>SUM(LTBL_28210[総数／事業所数])</totalsRowFormula>
    </tableColumn>
    <tableColumn id="11" name="総数／構成比" dataDxfId="431"/>
    <tableColumn id="12" name="個人／事業所数" totalsRowFunction="sum" totalsRowDxfId="430" dataCellStyle="桁区切り"/>
    <tableColumn id="13" name="個人／構成比" dataDxfId="429"/>
    <tableColumn id="14" name="法人／事業所数" totalsRowFunction="sum" totalsRowDxfId="428" dataCellStyle="桁区切り"/>
    <tableColumn id="15" name="法人／構成比" dataDxfId="427"/>
    <tableColumn id="16" name="法人以外の団体／事業所数" totalsRowFunction="sum" totalsRowDxfId="426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id="82" name="LABTBL_28210" displayName="LABTBL_2821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3.xml><?xml version="1.0" encoding="utf-8"?>
<table xmlns="http://schemas.openxmlformats.org/spreadsheetml/2006/main" id="83" name="M_TABLE_ti.28210" displayName="M_TABLE_ti.2821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25"/>
    <tableColumn id="12" name="個人／事業所数" dataCellStyle="桁区切り"/>
    <tableColumn id="13" name="個人／構成比" dataDxfId="424"/>
    <tableColumn id="14" name="法人／事業所数" dataCellStyle="桁区切り"/>
    <tableColumn id="15" name="法人／構成比" dataDxfId="42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id="84" name="S_TABLE_ti.28210" displayName="S_TABLE_ti.2821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22"/>
    <tableColumn id="12" name="個人／事業所数" dataCellStyle="桁区切り"/>
    <tableColumn id="13" name="個人／構成比" dataDxfId="421"/>
    <tableColumn id="14" name="法人／事業所数" dataCellStyle="桁区切り"/>
    <tableColumn id="15" name="法人／構成比" dataDxfId="42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id="85" name="LTBL_28212" displayName="LTBL_28212" ref="B4:I20" totalsRowCount="1">
  <autoFilter ref="B4:I19"/>
  <tableColumns count="8">
    <tableColumn id="9" name="産業大分類" totalsRowLabel="合計" totalsRowDxfId="419"/>
    <tableColumn id="10" name="総数／事業所数" totalsRowFunction="custom" totalsRowDxfId="418" dataCellStyle="桁区切り">
      <totalsRowFormula>SUM(LTBL_28212[総数／事業所数])</totalsRowFormula>
    </tableColumn>
    <tableColumn id="11" name="総数／構成比" dataDxfId="417"/>
    <tableColumn id="12" name="個人／事業所数" totalsRowFunction="sum" totalsRowDxfId="416" dataCellStyle="桁区切り"/>
    <tableColumn id="13" name="個人／構成比" dataDxfId="415"/>
    <tableColumn id="14" name="法人／事業所数" totalsRowFunction="sum" totalsRowDxfId="414" dataCellStyle="桁区切り"/>
    <tableColumn id="15" name="法人／構成比" dataDxfId="413"/>
    <tableColumn id="16" name="法人以外の団体／事業所数" totalsRowFunction="sum" totalsRowDxfId="412" data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id="86" name="LABTBL_28212" displayName="LABTBL_2821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7.xml><?xml version="1.0" encoding="utf-8"?>
<table xmlns="http://schemas.openxmlformats.org/spreadsheetml/2006/main" id="87" name="M_TABLE_ti.28212" displayName="M_TABLE_ti.28212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411"/>
    <tableColumn id="12" name="個人／事業所数" dataCellStyle="桁区切り"/>
    <tableColumn id="13" name="個人／構成比" dataDxfId="410"/>
    <tableColumn id="14" name="法人／事業所数" dataCellStyle="桁区切り"/>
    <tableColumn id="15" name="法人／構成比" dataDxfId="40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id="88" name="S_TABLE_ti.28212" displayName="S_TABLE_ti.28212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408"/>
    <tableColumn id="12" name="個人／事業所数" dataCellStyle="桁区切り"/>
    <tableColumn id="13" name="個人／構成比" dataDxfId="407"/>
    <tableColumn id="14" name="法人／事業所数" dataCellStyle="桁区切り"/>
    <tableColumn id="15" name="法人／構成比" dataDxfId="40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id="89" name="LTBL_28213" displayName="LTBL_28213" ref="B4:I20" totalsRowCount="1">
  <autoFilter ref="B4:I19"/>
  <tableColumns count="8">
    <tableColumn id="9" name="産業大分類" totalsRowLabel="合計" totalsRowDxfId="405"/>
    <tableColumn id="10" name="総数／事業所数" totalsRowFunction="custom" totalsRowDxfId="404" dataCellStyle="桁区切り">
      <totalsRowFormula>SUM(LTBL_28213[総数／事業所数])</totalsRowFormula>
    </tableColumn>
    <tableColumn id="11" name="総数／構成比" dataDxfId="403"/>
    <tableColumn id="12" name="個人／事業所数" totalsRowFunction="sum" totalsRowDxfId="402" dataCellStyle="桁区切り"/>
    <tableColumn id="13" name="個人／構成比" dataDxfId="401"/>
    <tableColumn id="14" name="法人／事業所数" totalsRowFunction="sum" totalsRowDxfId="400" dataCellStyle="桁区切り"/>
    <tableColumn id="15" name="法人／構成比" dataDxfId="399"/>
    <tableColumn id="16" name="法人以外の団体／事業所数" totalsRowFunction="sum" totalsRowDxfId="398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LTBL_28101" displayName="LTBL_28101" ref="B4:I20" totalsRowCount="1">
  <autoFilter ref="B4:I19"/>
  <tableColumns count="8">
    <tableColumn id="9" name="産業大分類" totalsRowLabel="合計" totalsRowDxfId="685"/>
    <tableColumn id="10" name="総数／事業所数" totalsRowFunction="custom" totalsRowDxfId="684" dataCellStyle="桁区切り">
      <totalsRowFormula>SUM(LTBL_28101[総数／事業所数])</totalsRowFormula>
    </tableColumn>
    <tableColumn id="11" name="総数／構成比" dataDxfId="683"/>
    <tableColumn id="12" name="個人／事業所数" totalsRowFunction="sum" totalsRowDxfId="682" dataCellStyle="桁区切り"/>
    <tableColumn id="13" name="個人／構成比" dataDxfId="681"/>
    <tableColumn id="14" name="法人／事業所数" totalsRowFunction="sum" totalsRowDxfId="680" dataCellStyle="桁区切り"/>
    <tableColumn id="15" name="法人／構成比" dataDxfId="679"/>
    <tableColumn id="16" name="法人以外の団体／事業所数" totalsRowFunction="sum" totalsRowDxfId="678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id="90" name="LABTBL_28213" displayName="LABTBL_2821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1.xml><?xml version="1.0" encoding="utf-8"?>
<table xmlns="http://schemas.openxmlformats.org/spreadsheetml/2006/main" id="91" name="M_TABLE_ti.28213" displayName="M_TABLE_ti.2821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97"/>
    <tableColumn id="12" name="個人／事業所数" dataCellStyle="桁区切り"/>
    <tableColumn id="13" name="個人／構成比" dataDxfId="396"/>
    <tableColumn id="14" name="法人／事業所数" dataCellStyle="桁区切り"/>
    <tableColumn id="15" name="法人／構成比" dataDxfId="39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id="92" name="S_TABLE_ti.28213" displayName="S_TABLE_ti.28213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394"/>
    <tableColumn id="12" name="個人／事業所数" dataCellStyle="桁区切り"/>
    <tableColumn id="13" name="個人／構成比" dataDxfId="393"/>
    <tableColumn id="14" name="法人／事業所数" dataCellStyle="桁区切り"/>
    <tableColumn id="15" name="法人／構成比" dataDxfId="39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id="93" name="LTBL_28214" displayName="LTBL_28214" ref="B4:I20" totalsRowCount="1">
  <autoFilter ref="B4:I19"/>
  <tableColumns count="8">
    <tableColumn id="9" name="産業大分類" totalsRowLabel="合計" totalsRowDxfId="391"/>
    <tableColumn id="10" name="総数／事業所数" totalsRowFunction="custom" totalsRowDxfId="390" dataCellStyle="桁区切り">
      <totalsRowFormula>SUM(LTBL_28214[総数／事業所数])</totalsRowFormula>
    </tableColumn>
    <tableColumn id="11" name="総数／構成比" dataDxfId="389"/>
    <tableColumn id="12" name="個人／事業所数" totalsRowFunction="sum" totalsRowDxfId="388" dataCellStyle="桁区切り"/>
    <tableColumn id="13" name="個人／構成比" dataDxfId="387"/>
    <tableColumn id="14" name="法人／事業所数" totalsRowFunction="sum" totalsRowDxfId="386" dataCellStyle="桁区切り"/>
    <tableColumn id="15" name="法人／構成比" dataDxfId="385"/>
    <tableColumn id="16" name="法人以外の団体／事業所数" totalsRowFunction="sum" totalsRowDxfId="384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id="94" name="LABTBL_28214" displayName="LABTBL_2821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5.xml><?xml version="1.0" encoding="utf-8"?>
<table xmlns="http://schemas.openxmlformats.org/spreadsheetml/2006/main" id="95" name="M_TABLE_ti.28214" displayName="M_TABLE_ti.2821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83"/>
    <tableColumn id="12" name="個人／事業所数" dataCellStyle="桁区切り"/>
    <tableColumn id="13" name="個人／構成比" dataDxfId="382"/>
    <tableColumn id="14" name="法人／事業所数" dataCellStyle="桁区切り"/>
    <tableColumn id="15" name="法人／構成比" dataDxfId="38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id="96" name="S_TABLE_ti.28214" displayName="S_TABLE_ti.28214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380"/>
    <tableColumn id="12" name="個人／事業所数" dataCellStyle="桁区切り"/>
    <tableColumn id="13" name="個人／構成比" dataDxfId="379"/>
    <tableColumn id="14" name="法人／事業所数" dataCellStyle="桁区切り"/>
    <tableColumn id="15" name="法人／構成比" dataDxfId="37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id="97" name="LTBL_28215" displayName="LTBL_28215" ref="B4:I20" totalsRowCount="1">
  <autoFilter ref="B4:I19"/>
  <tableColumns count="8">
    <tableColumn id="9" name="産業大分類" totalsRowLabel="合計" totalsRowDxfId="377"/>
    <tableColumn id="10" name="総数／事業所数" totalsRowFunction="custom" totalsRowDxfId="376" dataCellStyle="桁区切り">
      <totalsRowFormula>SUM(LTBL_28215[総数／事業所数])</totalsRowFormula>
    </tableColumn>
    <tableColumn id="11" name="総数／構成比" dataDxfId="375"/>
    <tableColumn id="12" name="個人／事業所数" totalsRowFunction="sum" totalsRowDxfId="374" dataCellStyle="桁区切り"/>
    <tableColumn id="13" name="個人／構成比" dataDxfId="373"/>
    <tableColumn id="14" name="法人／事業所数" totalsRowFunction="sum" totalsRowDxfId="372" dataCellStyle="桁区切り"/>
    <tableColumn id="15" name="法人／構成比" dataDxfId="371"/>
    <tableColumn id="16" name="法人以外の団体／事業所数" totalsRowFunction="sum" totalsRowDxfId="370" data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id="98" name="LABTBL_28215" displayName="LABTBL_2821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9.xml><?xml version="1.0" encoding="utf-8"?>
<table xmlns="http://schemas.openxmlformats.org/spreadsheetml/2006/main" id="99" name="M_TABLE_ti.28215" displayName="M_TABLE_ti.2821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69"/>
    <tableColumn id="12" name="個人／事業所数" dataCellStyle="桁区切り"/>
    <tableColumn id="13" name="個人／構成比" dataDxfId="368"/>
    <tableColumn id="14" name="法人／事業所数" dataCellStyle="桁区切り"/>
    <tableColumn id="15" name="法人／構成比" dataDxfId="36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12.bin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3.bin"/><Relationship Id="rId5" Type="http://schemas.openxmlformats.org/officeDocument/2006/relationships/table" Target="../tables/table40.xml"/><Relationship Id="rId4" Type="http://schemas.openxmlformats.org/officeDocument/2006/relationships/table" Target="../tables/table3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14.bin"/><Relationship Id="rId5" Type="http://schemas.openxmlformats.org/officeDocument/2006/relationships/table" Target="../tables/table44.xml"/><Relationship Id="rId4" Type="http://schemas.openxmlformats.org/officeDocument/2006/relationships/table" Target="../tables/table4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5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16.bin"/><Relationship Id="rId5" Type="http://schemas.openxmlformats.org/officeDocument/2006/relationships/table" Target="../tables/table52.xml"/><Relationship Id="rId4" Type="http://schemas.openxmlformats.org/officeDocument/2006/relationships/table" Target="../tables/table5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7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8.xml"/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18.bin"/><Relationship Id="rId5" Type="http://schemas.openxmlformats.org/officeDocument/2006/relationships/table" Target="../tables/table60.xml"/><Relationship Id="rId4" Type="http://schemas.openxmlformats.org/officeDocument/2006/relationships/table" Target="../tables/table5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19.bin"/><Relationship Id="rId5" Type="http://schemas.openxmlformats.org/officeDocument/2006/relationships/table" Target="../tables/table64.xml"/><Relationship Id="rId4" Type="http://schemas.openxmlformats.org/officeDocument/2006/relationships/table" Target="../tables/table63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6.xml"/><Relationship Id="rId2" Type="http://schemas.openxmlformats.org/officeDocument/2006/relationships/table" Target="../tables/table65.xml"/><Relationship Id="rId1" Type="http://schemas.openxmlformats.org/officeDocument/2006/relationships/printerSettings" Target="../printerSettings/printerSettings20.bin"/><Relationship Id="rId5" Type="http://schemas.openxmlformats.org/officeDocument/2006/relationships/table" Target="../tables/table68.xml"/><Relationship Id="rId4" Type="http://schemas.openxmlformats.org/officeDocument/2006/relationships/table" Target="../tables/table6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0.xml"/><Relationship Id="rId2" Type="http://schemas.openxmlformats.org/officeDocument/2006/relationships/table" Target="../tables/table69.xml"/><Relationship Id="rId1" Type="http://schemas.openxmlformats.org/officeDocument/2006/relationships/printerSettings" Target="../printerSettings/printerSettings21.bin"/><Relationship Id="rId5" Type="http://schemas.openxmlformats.org/officeDocument/2006/relationships/table" Target="../tables/table72.xml"/><Relationship Id="rId4" Type="http://schemas.openxmlformats.org/officeDocument/2006/relationships/table" Target="../tables/table7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2.bin"/><Relationship Id="rId5" Type="http://schemas.openxmlformats.org/officeDocument/2006/relationships/table" Target="../tables/table76.xml"/><Relationship Id="rId4" Type="http://schemas.openxmlformats.org/officeDocument/2006/relationships/table" Target="../tables/table75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8.xml"/><Relationship Id="rId2" Type="http://schemas.openxmlformats.org/officeDocument/2006/relationships/table" Target="../tables/table77.xml"/><Relationship Id="rId1" Type="http://schemas.openxmlformats.org/officeDocument/2006/relationships/printerSettings" Target="../printerSettings/printerSettings23.bin"/><Relationship Id="rId5" Type="http://schemas.openxmlformats.org/officeDocument/2006/relationships/table" Target="../tables/table80.xml"/><Relationship Id="rId4" Type="http://schemas.openxmlformats.org/officeDocument/2006/relationships/table" Target="../tables/table79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2.xml"/><Relationship Id="rId2" Type="http://schemas.openxmlformats.org/officeDocument/2006/relationships/table" Target="../tables/table81.xml"/><Relationship Id="rId1" Type="http://schemas.openxmlformats.org/officeDocument/2006/relationships/printerSettings" Target="../printerSettings/printerSettings24.bin"/><Relationship Id="rId5" Type="http://schemas.openxmlformats.org/officeDocument/2006/relationships/table" Target="../tables/table84.xml"/><Relationship Id="rId4" Type="http://schemas.openxmlformats.org/officeDocument/2006/relationships/table" Target="../tables/table8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25.bin"/><Relationship Id="rId5" Type="http://schemas.openxmlformats.org/officeDocument/2006/relationships/table" Target="../tables/table88.xml"/><Relationship Id="rId4" Type="http://schemas.openxmlformats.org/officeDocument/2006/relationships/table" Target="../tables/table87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0.xml"/><Relationship Id="rId2" Type="http://schemas.openxmlformats.org/officeDocument/2006/relationships/table" Target="../tables/table89.xml"/><Relationship Id="rId1" Type="http://schemas.openxmlformats.org/officeDocument/2006/relationships/printerSettings" Target="../printerSettings/printerSettings26.bin"/><Relationship Id="rId5" Type="http://schemas.openxmlformats.org/officeDocument/2006/relationships/table" Target="../tables/table92.xml"/><Relationship Id="rId4" Type="http://schemas.openxmlformats.org/officeDocument/2006/relationships/table" Target="../tables/table91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4.xml"/><Relationship Id="rId2" Type="http://schemas.openxmlformats.org/officeDocument/2006/relationships/table" Target="../tables/table93.xml"/><Relationship Id="rId1" Type="http://schemas.openxmlformats.org/officeDocument/2006/relationships/printerSettings" Target="../printerSettings/printerSettings27.bin"/><Relationship Id="rId5" Type="http://schemas.openxmlformats.org/officeDocument/2006/relationships/table" Target="../tables/table96.xml"/><Relationship Id="rId4" Type="http://schemas.openxmlformats.org/officeDocument/2006/relationships/table" Target="../tables/table9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28.bin"/><Relationship Id="rId5" Type="http://schemas.openxmlformats.org/officeDocument/2006/relationships/table" Target="../tables/table100.xml"/><Relationship Id="rId4" Type="http://schemas.openxmlformats.org/officeDocument/2006/relationships/table" Target="../tables/table9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2.xml"/><Relationship Id="rId2" Type="http://schemas.openxmlformats.org/officeDocument/2006/relationships/table" Target="../tables/table101.xml"/><Relationship Id="rId1" Type="http://schemas.openxmlformats.org/officeDocument/2006/relationships/printerSettings" Target="../printerSettings/printerSettings29.bin"/><Relationship Id="rId5" Type="http://schemas.openxmlformats.org/officeDocument/2006/relationships/table" Target="../tables/table104.xml"/><Relationship Id="rId4" Type="http://schemas.openxmlformats.org/officeDocument/2006/relationships/table" Target="../tables/table103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6.xml"/><Relationship Id="rId2" Type="http://schemas.openxmlformats.org/officeDocument/2006/relationships/table" Target="../tables/table105.xml"/><Relationship Id="rId1" Type="http://schemas.openxmlformats.org/officeDocument/2006/relationships/printerSettings" Target="../printerSettings/printerSettings30.bin"/><Relationship Id="rId5" Type="http://schemas.openxmlformats.org/officeDocument/2006/relationships/table" Target="../tables/table108.xml"/><Relationship Id="rId4" Type="http://schemas.openxmlformats.org/officeDocument/2006/relationships/table" Target="../tables/table107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0.xml"/><Relationship Id="rId2" Type="http://schemas.openxmlformats.org/officeDocument/2006/relationships/table" Target="../tables/table109.xml"/><Relationship Id="rId1" Type="http://schemas.openxmlformats.org/officeDocument/2006/relationships/printerSettings" Target="../printerSettings/printerSettings31.bin"/><Relationship Id="rId5" Type="http://schemas.openxmlformats.org/officeDocument/2006/relationships/table" Target="../tables/table112.xml"/><Relationship Id="rId4" Type="http://schemas.openxmlformats.org/officeDocument/2006/relationships/table" Target="../tables/table111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4.xml"/><Relationship Id="rId2" Type="http://schemas.openxmlformats.org/officeDocument/2006/relationships/table" Target="../tables/table113.xml"/><Relationship Id="rId1" Type="http://schemas.openxmlformats.org/officeDocument/2006/relationships/printerSettings" Target="../printerSettings/printerSettings32.bin"/><Relationship Id="rId5" Type="http://schemas.openxmlformats.org/officeDocument/2006/relationships/table" Target="../tables/table116.xml"/><Relationship Id="rId4" Type="http://schemas.openxmlformats.org/officeDocument/2006/relationships/table" Target="../tables/table11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8.xml"/><Relationship Id="rId2" Type="http://schemas.openxmlformats.org/officeDocument/2006/relationships/table" Target="../tables/table117.xml"/><Relationship Id="rId1" Type="http://schemas.openxmlformats.org/officeDocument/2006/relationships/printerSettings" Target="../printerSettings/printerSettings33.bin"/><Relationship Id="rId5" Type="http://schemas.openxmlformats.org/officeDocument/2006/relationships/table" Target="../tables/table120.xml"/><Relationship Id="rId4" Type="http://schemas.openxmlformats.org/officeDocument/2006/relationships/table" Target="../tables/table119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2.xml"/><Relationship Id="rId2" Type="http://schemas.openxmlformats.org/officeDocument/2006/relationships/table" Target="../tables/table121.xml"/><Relationship Id="rId1" Type="http://schemas.openxmlformats.org/officeDocument/2006/relationships/printerSettings" Target="../printerSettings/printerSettings34.bin"/><Relationship Id="rId5" Type="http://schemas.openxmlformats.org/officeDocument/2006/relationships/table" Target="../tables/table124.xml"/><Relationship Id="rId4" Type="http://schemas.openxmlformats.org/officeDocument/2006/relationships/table" Target="../tables/table12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6.xml"/><Relationship Id="rId2" Type="http://schemas.openxmlformats.org/officeDocument/2006/relationships/table" Target="../tables/table125.xml"/><Relationship Id="rId1" Type="http://schemas.openxmlformats.org/officeDocument/2006/relationships/printerSettings" Target="../printerSettings/printerSettings35.bin"/><Relationship Id="rId5" Type="http://schemas.openxmlformats.org/officeDocument/2006/relationships/table" Target="../tables/table128.xml"/><Relationship Id="rId4" Type="http://schemas.openxmlformats.org/officeDocument/2006/relationships/table" Target="../tables/table127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0.xml"/><Relationship Id="rId2" Type="http://schemas.openxmlformats.org/officeDocument/2006/relationships/table" Target="../tables/table129.xml"/><Relationship Id="rId1" Type="http://schemas.openxmlformats.org/officeDocument/2006/relationships/printerSettings" Target="../printerSettings/printerSettings36.bin"/><Relationship Id="rId5" Type="http://schemas.openxmlformats.org/officeDocument/2006/relationships/table" Target="../tables/table132.xml"/><Relationship Id="rId4" Type="http://schemas.openxmlformats.org/officeDocument/2006/relationships/table" Target="../tables/table131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4.xml"/><Relationship Id="rId2" Type="http://schemas.openxmlformats.org/officeDocument/2006/relationships/table" Target="../tables/table133.xml"/><Relationship Id="rId1" Type="http://schemas.openxmlformats.org/officeDocument/2006/relationships/printerSettings" Target="../printerSettings/printerSettings37.bin"/><Relationship Id="rId5" Type="http://schemas.openxmlformats.org/officeDocument/2006/relationships/table" Target="../tables/table136.xml"/><Relationship Id="rId4" Type="http://schemas.openxmlformats.org/officeDocument/2006/relationships/table" Target="../tables/table135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8.xml"/><Relationship Id="rId2" Type="http://schemas.openxmlformats.org/officeDocument/2006/relationships/table" Target="../tables/table137.xml"/><Relationship Id="rId1" Type="http://schemas.openxmlformats.org/officeDocument/2006/relationships/printerSettings" Target="../printerSettings/printerSettings38.bin"/><Relationship Id="rId5" Type="http://schemas.openxmlformats.org/officeDocument/2006/relationships/table" Target="../tables/table140.xml"/><Relationship Id="rId4" Type="http://schemas.openxmlformats.org/officeDocument/2006/relationships/table" Target="../tables/table1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2.xml"/><Relationship Id="rId2" Type="http://schemas.openxmlformats.org/officeDocument/2006/relationships/table" Target="../tables/table141.xml"/><Relationship Id="rId1" Type="http://schemas.openxmlformats.org/officeDocument/2006/relationships/printerSettings" Target="../printerSettings/printerSettings39.bin"/><Relationship Id="rId5" Type="http://schemas.openxmlformats.org/officeDocument/2006/relationships/table" Target="../tables/table144.xml"/><Relationship Id="rId4" Type="http://schemas.openxmlformats.org/officeDocument/2006/relationships/table" Target="../tables/table143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6.xml"/><Relationship Id="rId2" Type="http://schemas.openxmlformats.org/officeDocument/2006/relationships/table" Target="../tables/table145.xml"/><Relationship Id="rId1" Type="http://schemas.openxmlformats.org/officeDocument/2006/relationships/printerSettings" Target="../printerSettings/printerSettings40.bin"/><Relationship Id="rId5" Type="http://schemas.openxmlformats.org/officeDocument/2006/relationships/table" Target="../tables/table148.xml"/><Relationship Id="rId4" Type="http://schemas.openxmlformats.org/officeDocument/2006/relationships/table" Target="../tables/table147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0.xml"/><Relationship Id="rId2" Type="http://schemas.openxmlformats.org/officeDocument/2006/relationships/table" Target="../tables/table149.xml"/><Relationship Id="rId1" Type="http://schemas.openxmlformats.org/officeDocument/2006/relationships/printerSettings" Target="../printerSettings/printerSettings41.bin"/><Relationship Id="rId5" Type="http://schemas.openxmlformats.org/officeDocument/2006/relationships/table" Target="../tables/table152.xml"/><Relationship Id="rId4" Type="http://schemas.openxmlformats.org/officeDocument/2006/relationships/table" Target="../tables/table151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4.xml"/><Relationship Id="rId2" Type="http://schemas.openxmlformats.org/officeDocument/2006/relationships/table" Target="../tables/table153.xml"/><Relationship Id="rId1" Type="http://schemas.openxmlformats.org/officeDocument/2006/relationships/printerSettings" Target="../printerSettings/printerSettings42.bin"/><Relationship Id="rId5" Type="http://schemas.openxmlformats.org/officeDocument/2006/relationships/table" Target="../tables/table156.xml"/><Relationship Id="rId4" Type="http://schemas.openxmlformats.org/officeDocument/2006/relationships/table" Target="../tables/table155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8.xml"/><Relationship Id="rId2" Type="http://schemas.openxmlformats.org/officeDocument/2006/relationships/table" Target="../tables/table157.xml"/><Relationship Id="rId1" Type="http://schemas.openxmlformats.org/officeDocument/2006/relationships/printerSettings" Target="../printerSettings/printerSettings43.bin"/><Relationship Id="rId5" Type="http://schemas.openxmlformats.org/officeDocument/2006/relationships/table" Target="../tables/table160.xml"/><Relationship Id="rId4" Type="http://schemas.openxmlformats.org/officeDocument/2006/relationships/table" Target="../tables/table159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2.xml"/><Relationship Id="rId2" Type="http://schemas.openxmlformats.org/officeDocument/2006/relationships/table" Target="../tables/table161.xml"/><Relationship Id="rId1" Type="http://schemas.openxmlformats.org/officeDocument/2006/relationships/printerSettings" Target="../printerSettings/printerSettings44.bin"/><Relationship Id="rId5" Type="http://schemas.openxmlformats.org/officeDocument/2006/relationships/table" Target="../tables/table164.xml"/><Relationship Id="rId4" Type="http://schemas.openxmlformats.org/officeDocument/2006/relationships/table" Target="../tables/table163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6.xml"/><Relationship Id="rId2" Type="http://schemas.openxmlformats.org/officeDocument/2006/relationships/table" Target="../tables/table165.xml"/><Relationship Id="rId1" Type="http://schemas.openxmlformats.org/officeDocument/2006/relationships/printerSettings" Target="../printerSettings/printerSettings45.bin"/><Relationship Id="rId5" Type="http://schemas.openxmlformats.org/officeDocument/2006/relationships/table" Target="../tables/table168.xml"/><Relationship Id="rId4" Type="http://schemas.openxmlformats.org/officeDocument/2006/relationships/table" Target="../tables/table167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0.xml"/><Relationship Id="rId2" Type="http://schemas.openxmlformats.org/officeDocument/2006/relationships/table" Target="../tables/table169.xml"/><Relationship Id="rId1" Type="http://schemas.openxmlformats.org/officeDocument/2006/relationships/printerSettings" Target="../printerSettings/printerSettings46.bin"/><Relationship Id="rId5" Type="http://schemas.openxmlformats.org/officeDocument/2006/relationships/table" Target="../tables/table172.xml"/><Relationship Id="rId4" Type="http://schemas.openxmlformats.org/officeDocument/2006/relationships/table" Target="../tables/table171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4.xml"/><Relationship Id="rId2" Type="http://schemas.openxmlformats.org/officeDocument/2006/relationships/table" Target="../tables/table173.xml"/><Relationship Id="rId1" Type="http://schemas.openxmlformats.org/officeDocument/2006/relationships/printerSettings" Target="../printerSettings/printerSettings47.bin"/><Relationship Id="rId5" Type="http://schemas.openxmlformats.org/officeDocument/2006/relationships/table" Target="../tables/table176.xml"/><Relationship Id="rId4" Type="http://schemas.openxmlformats.org/officeDocument/2006/relationships/table" Target="../tables/table175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8.xml"/><Relationship Id="rId2" Type="http://schemas.openxmlformats.org/officeDocument/2006/relationships/table" Target="../tables/table177.xml"/><Relationship Id="rId1" Type="http://schemas.openxmlformats.org/officeDocument/2006/relationships/printerSettings" Target="../printerSettings/printerSettings48.bin"/><Relationship Id="rId5" Type="http://schemas.openxmlformats.org/officeDocument/2006/relationships/table" Target="../tables/table180.xml"/><Relationship Id="rId4" Type="http://schemas.openxmlformats.org/officeDocument/2006/relationships/table" Target="../tables/table17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2.xml"/><Relationship Id="rId2" Type="http://schemas.openxmlformats.org/officeDocument/2006/relationships/table" Target="../tables/table181.xml"/><Relationship Id="rId1" Type="http://schemas.openxmlformats.org/officeDocument/2006/relationships/printerSettings" Target="../printerSettings/printerSettings49.bin"/><Relationship Id="rId5" Type="http://schemas.openxmlformats.org/officeDocument/2006/relationships/table" Target="../tables/table184.xml"/><Relationship Id="rId4" Type="http://schemas.openxmlformats.org/officeDocument/2006/relationships/table" Target="../tables/table183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6.xml"/><Relationship Id="rId2" Type="http://schemas.openxmlformats.org/officeDocument/2006/relationships/table" Target="../tables/table185.xml"/><Relationship Id="rId1" Type="http://schemas.openxmlformats.org/officeDocument/2006/relationships/printerSettings" Target="../printerSettings/printerSettings50.bin"/><Relationship Id="rId5" Type="http://schemas.openxmlformats.org/officeDocument/2006/relationships/table" Target="../tables/table188.xml"/><Relationship Id="rId4" Type="http://schemas.openxmlformats.org/officeDocument/2006/relationships/table" Target="../tables/table187.xm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0.xml"/><Relationship Id="rId2" Type="http://schemas.openxmlformats.org/officeDocument/2006/relationships/table" Target="../tables/table189.xml"/><Relationship Id="rId1" Type="http://schemas.openxmlformats.org/officeDocument/2006/relationships/printerSettings" Target="../printerSettings/printerSettings51.bin"/><Relationship Id="rId5" Type="http://schemas.openxmlformats.org/officeDocument/2006/relationships/table" Target="../tables/table192.xml"/><Relationship Id="rId4" Type="http://schemas.openxmlformats.org/officeDocument/2006/relationships/table" Target="../tables/table191.xm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4.xml"/><Relationship Id="rId2" Type="http://schemas.openxmlformats.org/officeDocument/2006/relationships/table" Target="../tables/table193.xml"/><Relationship Id="rId1" Type="http://schemas.openxmlformats.org/officeDocument/2006/relationships/printerSettings" Target="../printerSettings/printerSettings52.bin"/><Relationship Id="rId5" Type="http://schemas.openxmlformats.org/officeDocument/2006/relationships/table" Target="../tables/table196.xml"/><Relationship Id="rId4" Type="http://schemas.openxmlformats.org/officeDocument/2006/relationships/table" Target="../tables/table195.xm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8.xml"/><Relationship Id="rId2" Type="http://schemas.openxmlformats.org/officeDocument/2006/relationships/table" Target="../tables/table197.xml"/><Relationship Id="rId1" Type="http://schemas.openxmlformats.org/officeDocument/2006/relationships/printerSettings" Target="../printerSettings/printerSettings53.bin"/><Relationship Id="rId5" Type="http://schemas.openxmlformats.org/officeDocument/2006/relationships/table" Target="../tables/table200.xml"/><Relationship Id="rId4" Type="http://schemas.openxmlformats.org/officeDocument/2006/relationships/table" Target="../tables/table199.xml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2.xml"/><Relationship Id="rId2" Type="http://schemas.openxmlformats.org/officeDocument/2006/relationships/table" Target="../tables/table201.xml"/><Relationship Id="rId1" Type="http://schemas.openxmlformats.org/officeDocument/2006/relationships/printerSettings" Target="../printerSettings/printerSettings54.bin"/><Relationship Id="rId5" Type="http://schemas.openxmlformats.org/officeDocument/2006/relationships/table" Target="../tables/table204.xml"/><Relationship Id="rId4" Type="http://schemas.openxmlformats.org/officeDocument/2006/relationships/table" Target="../tables/table20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55"/>
  <sheetViews>
    <sheetView tabSelected="1" workbookViewId="0"/>
  </sheetViews>
  <sheetFormatPr defaultRowHeight="13.5" x14ac:dyDescent="0.15"/>
  <sheetData>
    <row r="1" spans="1:2" x14ac:dyDescent="0.15">
      <c r="A1" t="s">
        <v>443</v>
      </c>
    </row>
    <row r="2" spans="1:2" x14ac:dyDescent="0.15">
      <c r="B2" s="13" t="s">
        <v>214</v>
      </c>
    </row>
    <row r="3" spans="1:2" x14ac:dyDescent="0.15">
      <c r="B3" s="13" t="s">
        <v>124</v>
      </c>
    </row>
    <row r="4" spans="1:2" x14ac:dyDescent="0.15">
      <c r="B4" s="13" t="s">
        <v>212</v>
      </c>
    </row>
    <row r="5" spans="1:2" x14ac:dyDescent="0.15">
      <c r="B5" s="13" t="s">
        <v>392</v>
      </c>
    </row>
    <row r="6" spans="1:2" x14ac:dyDescent="0.15">
      <c r="B6" s="13" t="s">
        <v>393</v>
      </c>
    </row>
    <row r="7" spans="1:2" x14ac:dyDescent="0.15">
      <c r="B7" s="13" t="s">
        <v>394</v>
      </c>
    </row>
    <row r="8" spans="1:2" x14ac:dyDescent="0.15">
      <c r="B8" s="13" t="s">
        <v>395</v>
      </c>
    </row>
    <row r="9" spans="1:2" x14ac:dyDescent="0.15">
      <c r="B9" s="13" t="s">
        <v>396</v>
      </c>
    </row>
    <row r="10" spans="1:2" x14ac:dyDescent="0.15">
      <c r="B10" s="13" t="s">
        <v>397</v>
      </c>
    </row>
    <row r="11" spans="1:2" x14ac:dyDescent="0.15">
      <c r="B11" s="13" t="s">
        <v>398</v>
      </c>
    </row>
    <row r="12" spans="1:2" x14ac:dyDescent="0.15">
      <c r="B12" s="13" t="s">
        <v>399</v>
      </c>
    </row>
    <row r="13" spans="1:2" x14ac:dyDescent="0.15">
      <c r="B13" s="13" t="s">
        <v>400</v>
      </c>
    </row>
    <row r="14" spans="1:2" x14ac:dyDescent="0.15">
      <c r="B14" s="13" t="s">
        <v>401</v>
      </c>
    </row>
    <row r="15" spans="1:2" x14ac:dyDescent="0.15">
      <c r="B15" s="13" t="s">
        <v>402</v>
      </c>
    </row>
    <row r="16" spans="1:2" x14ac:dyDescent="0.15">
      <c r="B16" s="13" t="s">
        <v>403</v>
      </c>
    </row>
    <row r="17" spans="2:2" x14ac:dyDescent="0.15">
      <c r="B17" s="13" t="s">
        <v>404</v>
      </c>
    </row>
    <row r="18" spans="2:2" x14ac:dyDescent="0.15">
      <c r="B18" s="13" t="s">
        <v>405</v>
      </c>
    </row>
    <row r="19" spans="2:2" x14ac:dyDescent="0.15">
      <c r="B19" s="13" t="s">
        <v>406</v>
      </c>
    </row>
    <row r="20" spans="2:2" x14ac:dyDescent="0.15">
      <c r="B20" s="13" t="s">
        <v>407</v>
      </c>
    </row>
    <row r="21" spans="2:2" x14ac:dyDescent="0.15">
      <c r="B21" s="13" t="s">
        <v>408</v>
      </c>
    </row>
    <row r="22" spans="2:2" x14ac:dyDescent="0.15">
      <c r="B22" s="13" t="s">
        <v>409</v>
      </c>
    </row>
    <row r="23" spans="2:2" x14ac:dyDescent="0.15">
      <c r="B23" s="13" t="s">
        <v>410</v>
      </c>
    </row>
    <row r="24" spans="2:2" x14ac:dyDescent="0.15">
      <c r="B24" s="13" t="s">
        <v>411</v>
      </c>
    </row>
    <row r="25" spans="2:2" x14ac:dyDescent="0.15">
      <c r="B25" s="13" t="s">
        <v>412</v>
      </c>
    </row>
    <row r="26" spans="2:2" x14ac:dyDescent="0.15">
      <c r="B26" s="13" t="s">
        <v>413</v>
      </c>
    </row>
    <row r="27" spans="2:2" x14ac:dyDescent="0.15">
      <c r="B27" s="13" t="s">
        <v>414</v>
      </c>
    </row>
    <row r="28" spans="2:2" x14ac:dyDescent="0.15">
      <c r="B28" s="13" t="s">
        <v>415</v>
      </c>
    </row>
    <row r="29" spans="2:2" x14ac:dyDescent="0.15">
      <c r="B29" s="13" t="s">
        <v>416</v>
      </c>
    </row>
    <row r="30" spans="2:2" x14ac:dyDescent="0.15">
      <c r="B30" s="13" t="s">
        <v>417</v>
      </c>
    </row>
    <row r="31" spans="2:2" x14ac:dyDescent="0.15">
      <c r="B31" s="13" t="s">
        <v>418</v>
      </c>
    </row>
    <row r="32" spans="2:2" x14ac:dyDescent="0.15">
      <c r="B32" s="13" t="s">
        <v>419</v>
      </c>
    </row>
    <row r="33" spans="2:2" x14ac:dyDescent="0.15">
      <c r="B33" s="13" t="s">
        <v>420</v>
      </c>
    </row>
    <row r="34" spans="2:2" x14ac:dyDescent="0.15">
      <c r="B34" s="13" t="s">
        <v>421</v>
      </c>
    </row>
    <row r="35" spans="2:2" x14ac:dyDescent="0.15">
      <c r="B35" s="13" t="s">
        <v>422</v>
      </c>
    </row>
    <row r="36" spans="2:2" x14ac:dyDescent="0.15">
      <c r="B36" s="13" t="s">
        <v>423</v>
      </c>
    </row>
    <row r="37" spans="2:2" x14ac:dyDescent="0.15">
      <c r="B37" s="13" t="s">
        <v>424</v>
      </c>
    </row>
    <row r="38" spans="2:2" x14ac:dyDescent="0.15">
      <c r="B38" s="13" t="s">
        <v>425</v>
      </c>
    </row>
    <row r="39" spans="2:2" x14ac:dyDescent="0.15">
      <c r="B39" s="13" t="s">
        <v>426</v>
      </c>
    </row>
    <row r="40" spans="2:2" x14ac:dyDescent="0.15">
      <c r="B40" s="13" t="s">
        <v>427</v>
      </c>
    </row>
    <row r="41" spans="2:2" x14ac:dyDescent="0.15">
      <c r="B41" s="13" t="s">
        <v>428</v>
      </c>
    </row>
    <row r="42" spans="2:2" x14ac:dyDescent="0.15">
      <c r="B42" s="13" t="s">
        <v>429</v>
      </c>
    </row>
    <row r="43" spans="2:2" x14ac:dyDescent="0.15">
      <c r="B43" s="13" t="s">
        <v>430</v>
      </c>
    </row>
    <row r="44" spans="2:2" x14ac:dyDescent="0.15">
      <c r="B44" s="13" t="s">
        <v>431</v>
      </c>
    </row>
    <row r="45" spans="2:2" x14ac:dyDescent="0.15">
      <c r="B45" s="13" t="s">
        <v>432</v>
      </c>
    </row>
    <row r="46" spans="2:2" x14ac:dyDescent="0.15">
      <c r="B46" s="13" t="s">
        <v>433</v>
      </c>
    </row>
    <row r="47" spans="2:2" x14ac:dyDescent="0.15">
      <c r="B47" s="13" t="s">
        <v>434</v>
      </c>
    </row>
    <row r="48" spans="2:2" x14ac:dyDescent="0.15">
      <c r="B48" s="13" t="s">
        <v>435</v>
      </c>
    </row>
    <row r="49" spans="2:2" x14ac:dyDescent="0.15">
      <c r="B49" s="13" t="s">
        <v>436</v>
      </c>
    </row>
    <row r="50" spans="2:2" x14ac:dyDescent="0.15">
      <c r="B50" s="13" t="s">
        <v>437</v>
      </c>
    </row>
    <row r="51" spans="2:2" x14ac:dyDescent="0.15">
      <c r="B51" s="13" t="s">
        <v>438</v>
      </c>
    </row>
    <row r="52" spans="2:2" x14ac:dyDescent="0.15">
      <c r="B52" s="13" t="s">
        <v>439</v>
      </c>
    </row>
    <row r="53" spans="2:2" x14ac:dyDescent="0.15">
      <c r="B53" s="13" t="s">
        <v>440</v>
      </c>
    </row>
    <row r="54" spans="2:2" x14ac:dyDescent="0.15">
      <c r="B54" s="13" t="s">
        <v>441</v>
      </c>
    </row>
    <row r="55" spans="2:2" x14ac:dyDescent="0.15">
      <c r="B55" s="13" t="s">
        <v>442</v>
      </c>
    </row>
  </sheetData>
  <phoneticPr fontId="1"/>
  <hyperlinks>
    <hyperlink ref="B2" location="'産業大分類'!a1" display="産業大分類"/>
    <hyperlink ref="B3" location="'産業中分類'!a1" display="産業中分類"/>
    <hyperlink ref="B4" location="'産業小分類'!a1" display="産業小分類"/>
    <hyperlink ref="B5" location="'兵庫県'!a1" display="兵庫県"/>
    <hyperlink ref="B6" location="'神戸市'!a1" display="神戸市"/>
    <hyperlink ref="B7" location="'神戸市東灘区'!a1" display="神戸市東灘区"/>
    <hyperlink ref="B8" location="'神戸市灘区'!a1" display="神戸市灘区"/>
    <hyperlink ref="B9" location="'神戸市兵庫区'!a1" display="神戸市兵庫区"/>
    <hyperlink ref="B10" location="'神戸市長田区'!a1" display="神戸市長田区"/>
    <hyperlink ref="B11" location="'神戸市須磨区'!a1" display="神戸市須磨区"/>
    <hyperlink ref="B12" location="'神戸市垂水区'!a1" display="神戸市垂水区"/>
    <hyperlink ref="B13" location="'神戸市北区'!a1" display="神戸市北区"/>
    <hyperlink ref="B14" location="'神戸市中央区'!a1" display="神戸市中央区"/>
    <hyperlink ref="B15" location="'神戸市西区'!a1" display="神戸市西区"/>
    <hyperlink ref="B16" location="'姫路市'!a1" display="姫路市"/>
    <hyperlink ref="B17" location="'尼崎市'!a1" display="尼崎市"/>
    <hyperlink ref="B18" location="'明石市'!a1" display="明石市"/>
    <hyperlink ref="B19" location="'西宮市'!a1" display="西宮市"/>
    <hyperlink ref="B20" location="'洲本市'!a1" display="洲本市"/>
    <hyperlink ref="B21" location="'芦屋市'!a1" display="芦屋市"/>
    <hyperlink ref="B22" location="'伊丹市'!a1" display="伊丹市"/>
    <hyperlink ref="B23" location="'相生市'!a1" display="相生市"/>
    <hyperlink ref="B24" location="'豊岡市'!a1" display="豊岡市"/>
    <hyperlink ref="B25" location="'加古川市'!a1" display="加古川市"/>
    <hyperlink ref="B26" location="'赤穂市'!a1" display="赤穂市"/>
    <hyperlink ref="B27" location="'西脇市'!a1" display="西脇市"/>
    <hyperlink ref="B28" location="'宝塚市'!a1" display="宝塚市"/>
    <hyperlink ref="B29" location="'三木市'!a1" display="三木市"/>
    <hyperlink ref="B30" location="'高砂市'!a1" display="高砂市"/>
    <hyperlink ref="B31" location="'川西市'!a1" display="川西市"/>
    <hyperlink ref="B32" location="'小野市'!a1" display="小野市"/>
    <hyperlink ref="B33" location="'三田市'!a1" display="三田市"/>
    <hyperlink ref="B34" location="'加西市'!a1" display="加西市"/>
    <hyperlink ref="B35" location="'篠山市'!a1" display="篠山市"/>
    <hyperlink ref="B36" location="'養父市'!a1" display="養父市"/>
    <hyperlink ref="B37" location="'丹波市'!a1" display="丹波市"/>
    <hyperlink ref="B38" location="'南あわじ市'!a1" display="南あわじ市"/>
    <hyperlink ref="B39" location="'朝来市'!a1" display="朝来市"/>
    <hyperlink ref="B40" location="'淡路市'!a1" display="淡路市"/>
    <hyperlink ref="B41" location="'宍粟市'!a1" display="宍粟市"/>
    <hyperlink ref="B42" location="'加東市'!a1" display="加東市"/>
    <hyperlink ref="B43" location="'たつの市'!a1" display="たつの市"/>
    <hyperlink ref="B44" location="'川辺郡猪名川町'!a1" display="川辺郡猪名川町"/>
    <hyperlink ref="B45" location="'多可郡多可町'!a1" display="多可郡多可町"/>
    <hyperlink ref="B46" location="'加古郡稲美町'!a1" display="加古郡稲美町"/>
    <hyperlink ref="B47" location="'加古郡播磨町'!a1" display="加古郡播磨町"/>
    <hyperlink ref="B48" location="'神崎郡市川町'!a1" display="神崎郡市川町"/>
    <hyperlink ref="B49" location="'神崎郡福崎町'!a1" display="神崎郡福崎町"/>
    <hyperlink ref="B50" location="'神崎郡神河町'!a1" display="神崎郡神河町"/>
    <hyperlink ref="B51" location="'揖保郡太子町'!a1" display="揖保郡太子町"/>
    <hyperlink ref="B52" location="'赤穂郡上郡町'!a1" display="赤穂郡上郡町"/>
    <hyperlink ref="B53" location="'佐用郡佐用町'!a1" display="佐用郡佐用町"/>
    <hyperlink ref="B54" location="'美方郡香美町'!a1" display="美方郡香美町"/>
    <hyperlink ref="B55" location="'美方郡新温泉町'!a1" display="美方郡新温泉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241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265</v>
      </c>
      <c r="D6" s="8">
        <v>7.15</v>
      </c>
      <c r="E6" s="12">
        <v>95</v>
      </c>
      <c r="F6" s="8">
        <v>3.86</v>
      </c>
      <c r="G6" s="12">
        <v>170</v>
      </c>
      <c r="H6" s="8">
        <v>13.71</v>
      </c>
      <c r="I6" s="12">
        <v>0</v>
      </c>
    </row>
    <row r="7" spans="2:9" ht="15" customHeight="1" x14ac:dyDescent="0.15">
      <c r="B7" t="s">
        <v>53</v>
      </c>
      <c r="C7" s="12">
        <v>807</v>
      </c>
      <c r="D7" s="8">
        <v>21.78</v>
      </c>
      <c r="E7" s="12">
        <v>521</v>
      </c>
      <c r="F7" s="8">
        <v>21.16</v>
      </c>
      <c r="G7" s="12">
        <v>286</v>
      </c>
      <c r="H7" s="8">
        <v>23.06</v>
      </c>
      <c r="I7" s="12">
        <v>0</v>
      </c>
    </row>
    <row r="8" spans="2:9" ht="15" customHeight="1" x14ac:dyDescent="0.15">
      <c r="B8" t="s">
        <v>54</v>
      </c>
      <c r="C8" s="12">
        <v>2</v>
      </c>
      <c r="D8" s="8">
        <v>0.05</v>
      </c>
      <c r="E8" s="12">
        <v>0</v>
      </c>
      <c r="F8" s="8">
        <v>0</v>
      </c>
      <c r="G8" s="12">
        <v>2</v>
      </c>
      <c r="H8" s="8">
        <v>0.16</v>
      </c>
      <c r="I8" s="12">
        <v>0</v>
      </c>
    </row>
    <row r="9" spans="2:9" ht="15" customHeight="1" x14ac:dyDescent="0.15">
      <c r="B9" t="s">
        <v>55</v>
      </c>
      <c r="C9" s="12">
        <v>9</v>
      </c>
      <c r="D9" s="8">
        <v>0.24</v>
      </c>
      <c r="E9" s="12">
        <v>3</v>
      </c>
      <c r="F9" s="8">
        <v>0.12</v>
      </c>
      <c r="G9" s="12">
        <v>6</v>
      </c>
      <c r="H9" s="8">
        <v>0.48</v>
      </c>
      <c r="I9" s="12">
        <v>0</v>
      </c>
    </row>
    <row r="10" spans="2:9" ht="15" customHeight="1" x14ac:dyDescent="0.15">
      <c r="B10" t="s">
        <v>56</v>
      </c>
      <c r="C10" s="12">
        <v>40</v>
      </c>
      <c r="D10" s="8">
        <v>1.08</v>
      </c>
      <c r="E10" s="12">
        <v>20</v>
      </c>
      <c r="F10" s="8">
        <v>0.81</v>
      </c>
      <c r="G10" s="12">
        <v>20</v>
      </c>
      <c r="H10" s="8">
        <v>1.61</v>
      </c>
      <c r="I10" s="12">
        <v>0</v>
      </c>
    </row>
    <row r="11" spans="2:9" ht="15" customHeight="1" x14ac:dyDescent="0.15">
      <c r="B11" t="s">
        <v>57</v>
      </c>
      <c r="C11" s="12">
        <v>888</v>
      </c>
      <c r="D11" s="8">
        <v>23.96</v>
      </c>
      <c r="E11" s="12">
        <v>511</v>
      </c>
      <c r="F11" s="8">
        <v>20.76</v>
      </c>
      <c r="G11" s="12">
        <v>377</v>
      </c>
      <c r="H11" s="8">
        <v>30.4</v>
      </c>
      <c r="I11" s="12">
        <v>0</v>
      </c>
    </row>
    <row r="12" spans="2:9" ht="15" customHeight="1" x14ac:dyDescent="0.15">
      <c r="B12" t="s">
        <v>58</v>
      </c>
      <c r="C12" s="12">
        <v>7</v>
      </c>
      <c r="D12" s="8">
        <v>0.19</v>
      </c>
      <c r="E12" s="12">
        <v>0</v>
      </c>
      <c r="F12" s="8">
        <v>0</v>
      </c>
      <c r="G12" s="12">
        <v>7</v>
      </c>
      <c r="H12" s="8">
        <v>0.56000000000000005</v>
      </c>
      <c r="I12" s="12">
        <v>0</v>
      </c>
    </row>
    <row r="13" spans="2:9" ht="15" customHeight="1" x14ac:dyDescent="0.15">
      <c r="B13" t="s">
        <v>59</v>
      </c>
      <c r="C13" s="12">
        <v>282</v>
      </c>
      <c r="D13" s="8">
        <v>7.61</v>
      </c>
      <c r="E13" s="12">
        <v>135</v>
      </c>
      <c r="F13" s="8">
        <v>5.48</v>
      </c>
      <c r="G13" s="12">
        <v>146</v>
      </c>
      <c r="H13" s="8">
        <v>11.77</v>
      </c>
      <c r="I13" s="12">
        <v>1</v>
      </c>
    </row>
    <row r="14" spans="2:9" ht="15" customHeight="1" x14ac:dyDescent="0.15">
      <c r="B14" t="s">
        <v>60</v>
      </c>
      <c r="C14" s="12">
        <v>104</v>
      </c>
      <c r="D14" s="8">
        <v>2.81</v>
      </c>
      <c r="E14" s="12">
        <v>67</v>
      </c>
      <c r="F14" s="8">
        <v>2.72</v>
      </c>
      <c r="G14" s="12">
        <v>37</v>
      </c>
      <c r="H14" s="8">
        <v>2.98</v>
      </c>
      <c r="I14" s="12">
        <v>0</v>
      </c>
    </row>
    <row r="15" spans="2:9" ht="15" customHeight="1" x14ac:dyDescent="0.15">
      <c r="B15" t="s">
        <v>61</v>
      </c>
      <c r="C15" s="12">
        <v>655</v>
      </c>
      <c r="D15" s="8">
        <v>17.670000000000002</v>
      </c>
      <c r="E15" s="12">
        <v>615</v>
      </c>
      <c r="F15" s="8">
        <v>24.98</v>
      </c>
      <c r="G15" s="12">
        <v>40</v>
      </c>
      <c r="H15" s="8">
        <v>3.23</v>
      </c>
      <c r="I15" s="12">
        <v>0</v>
      </c>
    </row>
    <row r="16" spans="2:9" ht="15" customHeight="1" x14ac:dyDescent="0.15">
      <c r="B16" t="s">
        <v>62</v>
      </c>
      <c r="C16" s="12">
        <v>341</v>
      </c>
      <c r="D16" s="8">
        <v>9.1999999999999993</v>
      </c>
      <c r="E16" s="12">
        <v>296</v>
      </c>
      <c r="F16" s="8">
        <v>12.02</v>
      </c>
      <c r="G16" s="12">
        <v>44</v>
      </c>
      <c r="H16" s="8">
        <v>3.55</v>
      </c>
      <c r="I16" s="12">
        <v>1</v>
      </c>
    </row>
    <row r="17" spans="2:9" ht="15" customHeight="1" x14ac:dyDescent="0.15">
      <c r="B17" t="s">
        <v>63</v>
      </c>
      <c r="C17" s="12">
        <v>63</v>
      </c>
      <c r="D17" s="8">
        <v>1.7</v>
      </c>
      <c r="E17" s="12">
        <v>53</v>
      </c>
      <c r="F17" s="8">
        <v>2.15</v>
      </c>
      <c r="G17" s="12">
        <v>9</v>
      </c>
      <c r="H17" s="8">
        <v>0.73</v>
      </c>
      <c r="I17" s="12">
        <v>1</v>
      </c>
    </row>
    <row r="18" spans="2:9" ht="15" customHeight="1" x14ac:dyDescent="0.15">
      <c r="B18" t="s">
        <v>64</v>
      </c>
      <c r="C18" s="12">
        <v>155</v>
      </c>
      <c r="D18" s="8">
        <v>4.18</v>
      </c>
      <c r="E18" s="12">
        <v>103</v>
      </c>
      <c r="F18" s="8">
        <v>4.18</v>
      </c>
      <c r="G18" s="12">
        <v>52</v>
      </c>
      <c r="H18" s="8">
        <v>4.1900000000000004</v>
      </c>
      <c r="I18" s="12">
        <v>0</v>
      </c>
    </row>
    <row r="19" spans="2:9" ht="15" customHeight="1" x14ac:dyDescent="0.15">
      <c r="B19" t="s">
        <v>65</v>
      </c>
      <c r="C19" s="12">
        <v>88</v>
      </c>
      <c r="D19" s="8">
        <v>2.37</v>
      </c>
      <c r="E19" s="12">
        <v>43</v>
      </c>
      <c r="F19" s="8">
        <v>1.75</v>
      </c>
      <c r="G19" s="12">
        <v>44</v>
      </c>
      <c r="H19" s="8">
        <v>3.55</v>
      </c>
      <c r="I19" s="12">
        <v>1</v>
      </c>
    </row>
    <row r="20" spans="2:9" ht="15" customHeight="1" x14ac:dyDescent="0.15">
      <c r="B20" s="9" t="s">
        <v>215</v>
      </c>
      <c r="C20" s="12">
        <f>SUM(LTBL_28106[総数／事業所数])</f>
        <v>3706</v>
      </c>
      <c r="E20" s="12">
        <f>SUBTOTAL(109,LTBL_28106[個人／事業所数])</f>
        <v>2462</v>
      </c>
      <c r="G20" s="12">
        <f>SUBTOTAL(109,LTBL_28106[法人／事業所数])</f>
        <v>1240</v>
      </c>
      <c r="I20" s="12">
        <f>SUBTOTAL(109,LTBL_28106[法人以外の団体／事業所数])</f>
        <v>4</v>
      </c>
    </row>
    <row r="21" spans="2:9" ht="15" customHeight="1" x14ac:dyDescent="0.15">
      <c r="E21" s="11">
        <f>LTBL_28106[[#Totals],[個人／事業所数]]/LTBL_28106[[#Totals],[総数／事業所数]]</f>
        <v>0.66432811656772806</v>
      </c>
      <c r="G21" s="11">
        <f>LTBL_28106[[#Totals],[法人／事業所数]]/LTBL_28106[[#Totals],[総数／事業所数]]</f>
        <v>0.33459255261737725</v>
      </c>
      <c r="I21" s="11">
        <f>LTBL_28106[[#Totals],[法人以外の団体／事業所数]]/LTBL_28106[[#Totals],[総数／事業所数]]</f>
        <v>1.0793308148947653E-3</v>
      </c>
    </row>
    <row r="23" spans="2:9" ht="33" customHeight="1" x14ac:dyDescent="0.15">
      <c r="B23" t="s">
        <v>214</v>
      </c>
      <c r="C23" s="10" t="s">
        <v>67</v>
      </c>
      <c r="D23" s="10" t="s">
        <v>242</v>
      </c>
      <c r="E23" s="10" t="s">
        <v>69</v>
      </c>
      <c r="F23" s="10" t="s">
        <v>243</v>
      </c>
      <c r="G23" s="10" t="s">
        <v>71</v>
      </c>
      <c r="H23" s="10" t="s">
        <v>223</v>
      </c>
      <c r="I23" s="10" t="s">
        <v>73</v>
      </c>
    </row>
    <row r="24" spans="2:9" ht="15" customHeight="1" x14ac:dyDescent="0.15">
      <c r="B24" t="s">
        <v>217</v>
      </c>
      <c r="C24">
        <v>0</v>
      </c>
      <c r="D24" t="s">
        <v>216</v>
      </c>
      <c r="E24">
        <v>0</v>
      </c>
      <c r="F24" t="s">
        <v>218</v>
      </c>
      <c r="G24">
        <v>0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229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89</v>
      </c>
      <c r="C29" s="12">
        <v>634</v>
      </c>
      <c r="D29" s="8">
        <v>17.11</v>
      </c>
      <c r="E29" s="12">
        <v>604</v>
      </c>
      <c r="F29" s="8">
        <v>24.53</v>
      </c>
      <c r="G29" s="12">
        <v>30</v>
      </c>
      <c r="H29" s="8">
        <v>2.42</v>
      </c>
      <c r="I29" s="12">
        <v>0</v>
      </c>
    </row>
    <row r="30" spans="2:9" ht="15" customHeight="1" x14ac:dyDescent="0.15">
      <c r="B30" t="s">
        <v>90</v>
      </c>
      <c r="C30" s="12">
        <v>287</v>
      </c>
      <c r="D30" s="8">
        <v>7.74</v>
      </c>
      <c r="E30" s="12">
        <v>267</v>
      </c>
      <c r="F30" s="8">
        <v>10.84</v>
      </c>
      <c r="G30" s="12">
        <v>20</v>
      </c>
      <c r="H30" s="8">
        <v>1.61</v>
      </c>
      <c r="I30" s="12">
        <v>0</v>
      </c>
    </row>
    <row r="31" spans="2:9" ht="15" customHeight="1" x14ac:dyDescent="0.15">
      <c r="B31" t="s">
        <v>82</v>
      </c>
      <c r="C31" s="12">
        <v>254</v>
      </c>
      <c r="D31" s="8">
        <v>6.85</v>
      </c>
      <c r="E31" s="12">
        <v>203</v>
      </c>
      <c r="F31" s="8">
        <v>8.25</v>
      </c>
      <c r="G31" s="12">
        <v>51</v>
      </c>
      <c r="H31" s="8">
        <v>4.1100000000000003</v>
      </c>
      <c r="I31" s="12">
        <v>0</v>
      </c>
    </row>
    <row r="32" spans="2:9" ht="15" customHeight="1" x14ac:dyDescent="0.15">
      <c r="B32" t="s">
        <v>99</v>
      </c>
      <c r="C32" s="12">
        <v>236</v>
      </c>
      <c r="D32" s="8">
        <v>6.37</v>
      </c>
      <c r="E32" s="12">
        <v>200</v>
      </c>
      <c r="F32" s="8">
        <v>8.1199999999999992</v>
      </c>
      <c r="G32" s="12">
        <v>36</v>
      </c>
      <c r="H32" s="8">
        <v>2.9</v>
      </c>
      <c r="I32" s="12">
        <v>0</v>
      </c>
    </row>
    <row r="33" spans="2:9" ht="15" customHeight="1" x14ac:dyDescent="0.15">
      <c r="B33" t="s">
        <v>86</v>
      </c>
      <c r="C33" s="12">
        <v>221</v>
      </c>
      <c r="D33" s="8">
        <v>5.96</v>
      </c>
      <c r="E33" s="12">
        <v>122</v>
      </c>
      <c r="F33" s="8">
        <v>4.96</v>
      </c>
      <c r="G33" s="12">
        <v>98</v>
      </c>
      <c r="H33" s="8">
        <v>7.9</v>
      </c>
      <c r="I33" s="12">
        <v>1</v>
      </c>
    </row>
    <row r="34" spans="2:9" ht="15" customHeight="1" x14ac:dyDescent="0.15">
      <c r="B34" t="s">
        <v>84</v>
      </c>
      <c r="C34" s="12">
        <v>190</v>
      </c>
      <c r="D34" s="8">
        <v>5.13</v>
      </c>
      <c r="E34" s="12">
        <v>116</v>
      </c>
      <c r="F34" s="8">
        <v>4.71</v>
      </c>
      <c r="G34" s="12">
        <v>74</v>
      </c>
      <c r="H34" s="8">
        <v>5.97</v>
      </c>
      <c r="I34" s="12">
        <v>0</v>
      </c>
    </row>
    <row r="35" spans="2:9" ht="15" customHeight="1" x14ac:dyDescent="0.15">
      <c r="B35" t="s">
        <v>101</v>
      </c>
      <c r="C35" s="12">
        <v>117</v>
      </c>
      <c r="D35" s="8">
        <v>3.16</v>
      </c>
      <c r="E35" s="12">
        <v>61</v>
      </c>
      <c r="F35" s="8">
        <v>2.48</v>
      </c>
      <c r="G35" s="12">
        <v>56</v>
      </c>
      <c r="H35" s="8">
        <v>4.5199999999999996</v>
      </c>
      <c r="I35" s="12">
        <v>0</v>
      </c>
    </row>
    <row r="36" spans="2:9" ht="15" customHeight="1" x14ac:dyDescent="0.15">
      <c r="B36" t="s">
        <v>100</v>
      </c>
      <c r="C36" s="12">
        <v>116</v>
      </c>
      <c r="D36" s="8">
        <v>3.13</v>
      </c>
      <c r="E36" s="12">
        <v>100</v>
      </c>
      <c r="F36" s="8">
        <v>4.0599999999999996</v>
      </c>
      <c r="G36" s="12">
        <v>16</v>
      </c>
      <c r="H36" s="8">
        <v>1.29</v>
      </c>
      <c r="I36" s="12">
        <v>0</v>
      </c>
    </row>
    <row r="37" spans="2:9" ht="15" customHeight="1" x14ac:dyDescent="0.15">
      <c r="B37" t="s">
        <v>93</v>
      </c>
      <c r="C37" s="12">
        <v>109</v>
      </c>
      <c r="D37" s="8">
        <v>2.94</v>
      </c>
      <c r="E37" s="12">
        <v>102</v>
      </c>
      <c r="F37" s="8">
        <v>4.1399999999999997</v>
      </c>
      <c r="G37" s="12">
        <v>7</v>
      </c>
      <c r="H37" s="8">
        <v>0.56000000000000005</v>
      </c>
      <c r="I37" s="12">
        <v>0</v>
      </c>
    </row>
    <row r="38" spans="2:9" ht="15" customHeight="1" x14ac:dyDescent="0.15">
      <c r="B38" t="s">
        <v>75</v>
      </c>
      <c r="C38" s="12">
        <v>97</v>
      </c>
      <c r="D38" s="8">
        <v>2.62</v>
      </c>
      <c r="E38" s="12">
        <v>45</v>
      </c>
      <c r="F38" s="8">
        <v>1.83</v>
      </c>
      <c r="G38" s="12">
        <v>52</v>
      </c>
      <c r="H38" s="8">
        <v>4.1900000000000004</v>
      </c>
      <c r="I38" s="12">
        <v>0</v>
      </c>
    </row>
    <row r="39" spans="2:9" ht="15" customHeight="1" x14ac:dyDescent="0.15">
      <c r="B39" t="s">
        <v>83</v>
      </c>
      <c r="C39" s="12">
        <v>92</v>
      </c>
      <c r="D39" s="8">
        <v>2.48</v>
      </c>
      <c r="E39" s="12">
        <v>54</v>
      </c>
      <c r="F39" s="8">
        <v>2.19</v>
      </c>
      <c r="G39" s="12">
        <v>38</v>
      </c>
      <c r="H39" s="8">
        <v>3.06</v>
      </c>
      <c r="I39" s="12">
        <v>0</v>
      </c>
    </row>
    <row r="40" spans="2:9" ht="15" customHeight="1" x14ac:dyDescent="0.15">
      <c r="B40" t="s">
        <v>74</v>
      </c>
      <c r="C40" s="12">
        <v>85</v>
      </c>
      <c r="D40" s="8">
        <v>2.29</v>
      </c>
      <c r="E40" s="12">
        <v>24</v>
      </c>
      <c r="F40" s="8">
        <v>0.97</v>
      </c>
      <c r="G40" s="12">
        <v>61</v>
      </c>
      <c r="H40" s="8">
        <v>4.92</v>
      </c>
      <c r="I40" s="12">
        <v>0</v>
      </c>
    </row>
    <row r="41" spans="2:9" ht="15" customHeight="1" x14ac:dyDescent="0.15">
      <c r="B41" t="s">
        <v>76</v>
      </c>
      <c r="C41" s="12">
        <v>83</v>
      </c>
      <c r="D41" s="8">
        <v>2.2400000000000002</v>
      </c>
      <c r="E41" s="12">
        <v>26</v>
      </c>
      <c r="F41" s="8">
        <v>1.06</v>
      </c>
      <c r="G41" s="12">
        <v>57</v>
      </c>
      <c r="H41" s="8">
        <v>4.5999999999999996</v>
      </c>
      <c r="I41" s="12">
        <v>0</v>
      </c>
    </row>
    <row r="42" spans="2:9" ht="15" customHeight="1" x14ac:dyDescent="0.15">
      <c r="B42" t="s">
        <v>77</v>
      </c>
      <c r="C42" s="12">
        <v>82</v>
      </c>
      <c r="D42" s="8">
        <v>2.21</v>
      </c>
      <c r="E42" s="12">
        <v>41</v>
      </c>
      <c r="F42" s="8">
        <v>1.67</v>
      </c>
      <c r="G42" s="12">
        <v>41</v>
      </c>
      <c r="H42" s="8">
        <v>3.31</v>
      </c>
      <c r="I42" s="12">
        <v>0</v>
      </c>
    </row>
    <row r="43" spans="2:9" ht="15" customHeight="1" x14ac:dyDescent="0.15">
      <c r="B43" t="s">
        <v>81</v>
      </c>
      <c r="C43" s="12">
        <v>82</v>
      </c>
      <c r="D43" s="8">
        <v>2.21</v>
      </c>
      <c r="E43" s="12">
        <v>55</v>
      </c>
      <c r="F43" s="8">
        <v>2.23</v>
      </c>
      <c r="G43" s="12">
        <v>27</v>
      </c>
      <c r="H43" s="8">
        <v>2.1800000000000002</v>
      </c>
      <c r="I43" s="12">
        <v>0</v>
      </c>
    </row>
    <row r="44" spans="2:9" ht="15" customHeight="1" x14ac:dyDescent="0.15">
      <c r="B44" t="s">
        <v>78</v>
      </c>
      <c r="C44" s="12">
        <v>76</v>
      </c>
      <c r="D44" s="8">
        <v>2.0499999999999998</v>
      </c>
      <c r="E44" s="12">
        <v>27</v>
      </c>
      <c r="F44" s="8">
        <v>1.1000000000000001</v>
      </c>
      <c r="G44" s="12">
        <v>49</v>
      </c>
      <c r="H44" s="8">
        <v>3.95</v>
      </c>
      <c r="I44" s="12">
        <v>0</v>
      </c>
    </row>
    <row r="45" spans="2:9" ht="15" customHeight="1" x14ac:dyDescent="0.15">
      <c r="B45" t="s">
        <v>87</v>
      </c>
      <c r="C45" s="12">
        <v>65</v>
      </c>
      <c r="D45" s="8">
        <v>1.75</v>
      </c>
      <c r="E45" s="12">
        <v>50</v>
      </c>
      <c r="F45" s="8">
        <v>2.0299999999999998</v>
      </c>
      <c r="G45" s="12">
        <v>15</v>
      </c>
      <c r="H45" s="8">
        <v>1.21</v>
      </c>
      <c r="I45" s="12">
        <v>0</v>
      </c>
    </row>
    <row r="46" spans="2:9" ht="15" customHeight="1" x14ac:dyDescent="0.15">
      <c r="B46" t="s">
        <v>92</v>
      </c>
      <c r="C46" s="12">
        <v>63</v>
      </c>
      <c r="D46" s="8">
        <v>1.7</v>
      </c>
      <c r="E46" s="12">
        <v>53</v>
      </c>
      <c r="F46" s="8">
        <v>2.15</v>
      </c>
      <c r="G46" s="12">
        <v>9</v>
      </c>
      <c r="H46" s="8">
        <v>0.73</v>
      </c>
      <c r="I46" s="12">
        <v>1</v>
      </c>
    </row>
    <row r="47" spans="2:9" ht="15" customHeight="1" x14ac:dyDescent="0.15">
      <c r="B47" t="s">
        <v>85</v>
      </c>
      <c r="C47" s="12">
        <v>56</v>
      </c>
      <c r="D47" s="8">
        <v>1.51</v>
      </c>
      <c r="E47" s="12">
        <v>13</v>
      </c>
      <c r="F47" s="8">
        <v>0.53</v>
      </c>
      <c r="G47" s="12">
        <v>43</v>
      </c>
      <c r="H47" s="8">
        <v>3.47</v>
      </c>
      <c r="I47" s="12">
        <v>0</v>
      </c>
    </row>
    <row r="48" spans="2:9" ht="15" customHeight="1" x14ac:dyDescent="0.15">
      <c r="B48" t="s">
        <v>102</v>
      </c>
      <c r="C48" s="12">
        <v>55</v>
      </c>
      <c r="D48" s="8">
        <v>1.48</v>
      </c>
      <c r="E48" s="12">
        <v>12</v>
      </c>
      <c r="F48" s="8">
        <v>0.49</v>
      </c>
      <c r="G48" s="12">
        <v>43</v>
      </c>
      <c r="H48" s="8">
        <v>3.47</v>
      </c>
      <c r="I48" s="12">
        <v>0</v>
      </c>
    </row>
    <row r="51" spans="2:9" ht="33" customHeight="1" x14ac:dyDescent="0.15">
      <c r="B51" t="s">
        <v>244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156</v>
      </c>
      <c r="C52" s="12">
        <v>199</v>
      </c>
      <c r="D52" s="8">
        <v>5.37</v>
      </c>
      <c r="E52" s="12">
        <v>182</v>
      </c>
      <c r="F52" s="8">
        <v>7.39</v>
      </c>
      <c r="G52" s="12">
        <v>17</v>
      </c>
      <c r="H52" s="8">
        <v>1.37</v>
      </c>
      <c r="I52" s="12">
        <v>0</v>
      </c>
    </row>
    <row r="53" spans="2:9" ht="15" customHeight="1" x14ac:dyDescent="0.15">
      <c r="B53" t="s">
        <v>138</v>
      </c>
      <c r="C53" s="12">
        <v>196</v>
      </c>
      <c r="D53" s="8">
        <v>5.29</v>
      </c>
      <c r="E53" s="12">
        <v>186</v>
      </c>
      <c r="F53" s="8">
        <v>7.55</v>
      </c>
      <c r="G53" s="12">
        <v>10</v>
      </c>
      <c r="H53" s="8">
        <v>0.81</v>
      </c>
      <c r="I53" s="12">
        <v>0</v>
      </c>
    </row>
    <row r="54" spans="2:9" ht="15" customHeight="1" x14ac:dyDescent="0.15">
      <c r="B54" t="s">
        <v>141</v>
      </c>
      <c r="C54" s="12">
        <v>119</v>
      </c>
      <c r="D54" s="8">
        <v>3.21</v>
      </c>
      <c r="E54" s="12">
        <v>114</v>
      </c>
      <c r="F54" s="8">
        <v>4.63</v>
      </c>
      <c r="G54" s="12">
        <v>5</v>
      </c>
      <c r="H54" s="8">
        <v>0.4</v>
      </c>
      <c r="I54" s="12">
        <v>0</v>
      </c>
    </row>
    <row r="55" spans="2:9" ht="15" customHeight="1" x14ac:dyDescent="0.15">
      <c r="B55" t="s">
        <v>136</v>
      </c>
      <c r="C55" s="12">
        <v>113</v>
      </c>
      <c r="D55" s="8">
        <v>3.05</v>
      </c>
      <c r="E55" s="12">
        <v>110</v>
      </c>
      <c r="F55" s="8">
        <v>4.47</v>
      </c>
      <c r="G55" s="12">
        <v>3</v>
      </c>
      <c r="H55" s="8">
        <v>0.24</v>
      </c>
      <c r="I55" s="12">
        <v>0</v>
      </c>
    </row>
    <row r="56" spans="2:9" ht="15" customHeight="1" x14ac:dyDescent="0.15">
      <c r="B56" t="s">
        <v>129</v>
      </c>
      <c r="C56" s="12">
        <v>99</v>
      </c>
      <c r="D56" s="8">
        <v>2.67</v>
      </c>
      <c r="E56" s="12">
        <v>77</v>
      </c>
      <c r="F56" s="8">
        <v>3.13</v>
      </c>
      <c r="G56" s="12">
        <v>22</v>
      </c>
      <c r="H56" s="8">
        <v>1.77</v>
      </c>
      <c r="I56" s="12">
        <v>0</v>
      </c>
    </row>
    <row r="57" spans="2:9" ht="15" customHeight="1" x14ac:dyDescent="0.15">
      <c r="B57" t="s">
        <v>135</v>
      </c>
      <c r="C57" s="12">
        <v>99</v>
      </c>
      <c r="D57" s="8">
        <v>2.67</v>
      </c>
      <c r="E57" s="12">
        <v>90</v>
      </c>
      <c r="F57" s="8">
        <v>3.66</v>
      </c>
      <c r="G57" s="12">
        <v>9</v>
      </c>
      <c r="H57" s="8">
        <v>0.73</v>
      </c>
      <c r="I57" s="12">
        <v>0</v>
      </c>
    </row>
    <row r="58" spans="2:9" ht="15" customHeight="1" x14ac:dyDescent="0.15">
      <c r="B58" t="s">
        <v>151</v>
      </c>
      <c r="C58" s="12">
        <v>97</v>
      </c>
      <c r="D58" s="8">
        <v>2.62</v>
      </c>
      <c r="E58" s="12">
        <v>93</v>
      </c>
      <c r="F58" s="8">
        <v>3.78</v>
      </c>
      <c r="G58" s="12">
        <v>4</v>
      </c>
      <c r="H58" s="8">
        <v>0.32</v>
      </c>
      <c r="I58" s="12">
        <v>0</v>
      </c>
    </row>
    <row r="59" spans="2:9" ht="15" customHeight="1" x14ac:dyDescent="0.15">
      <c r="B59" t="s">
        <v>134</v>
      </c>
      <c r="C59" s="12">
        <v>86</v>
      </c>
      <c r="D59" s="8">
        <v>2.3199999999999998</v>
      </c>
      <c r="E59" s="12">
        <v>54</v>
      </c>
      <c r="F59" s="8">
        <v>2.19</v>
      </c>
      <c r="G59" s="12">
        <v>32</v>
      </c>
      <c r="H59" s="8">
        <v>2.58</v>
      </c>
      <c r="I59" s="12">
        <v>0</v>
      </c>
    </row>
    <row r="60" spans="2:9" ht="15" customHeight="1" x14ac:dyDescent="0.15">
      <c r="B60" t="s">
        <v>132</v>
      </c>
      <c r="C60" s="12">
        <v>85</v>
      </c>
      <c r="D60" s="8">
        <v>2.29</v>
      </c>
      <c r="E60" s="12">
        <v>62</v>
      </c>
      <c r="F60" s="8">
        <v>2.52</v>
      </c>
      <c r="G60" s="12">
        <v>23</v>
      </c>
      <c r="H60" s="8">
        <v>1.85</v>
      </c>
      <c r="I60" s="12">
        <v>0</v>
      </c>
    </row>
    <row r="61" spans="2:9" ht="15" customHeight="1" x14ac:dyDescent="0.15">
      <c r="B61" t="s">
        <v>140</v>
      </c>
      <c r="C61" s="12">
        <v>76</v>
      </c>
      <c r="D61" s="8">
        <v>2.0499999999999998</v>
      </c>
      <c r="E61" s="12">
        <v>76</v>
      </c>
      <c r="F61" s="8">
        <v>3.09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157</v>
      </c>
      <c r="C62" s="12">
        <v>73</v>
      </c>
      <c r="D62" s="8">
        <v>1.97</v>
      </c>
      <c r="E62" s="12">
        <v>58</v>
      </c>
      <c r="F62" s="8">
        <v>2.36</v>
      </c>
      <c r="G62" s="12">
        <v>15</v>
      </c>
      <c r="H62" s="8">
        <v>1.21</v>
      </c>
      <c r="I62" s="12">
        <v>0</v>
      </c>
    </row>
    <row r="63" spans="2:9" ht="15" customHeight="1" x14ac:dyDescent="0.15">
      <c r="B63" t="s">
        <v>148</v>
      </c>
      <c r="C63" s="12">
        <v>73</v>
      </c>
      <c r="D63" s="8">
        <v>1.97</v>
      </c>
      <c r="E63" s="12">
        <v>55</v>
      </c>
      <c r="F63" s="8">
        <v>2.23</v>
      </c>
      <c r="G63" s="12">
        <v>17</v>
      </c>
      <c r="H63" s="8">
        <v>1.37</v>
      </c>
      <c r="I63" s="12">
        <v>1</v>
      </c>
    </row>
    <row r="64" spans="2:9" ht="15" customHeight="1" x14ac:dyDescent="0.15">
      <c r="B64" t="s">
        <v>144</v>
      </c>
      <c r="C64" s="12">
        <v>71</v>
      </c>
      <c r="D64" s="8">
        <v>1.92</v>
      </c>
      <c r="E64" s="12">
        <v>67</v>
      </c>
      <c r="F64" s="8">
        <v>2.72</v>
      </c>
      <c r="G64" s="12">
        <v>4</v>
      </c>
      <c r="H64" s="8">
        <v>0.32</v>
      </c>
      <c r="I64" s="12">
        <v>0</v>
      </c>
    </row>
    <row r="65" spans="2:9" ht="15" customHeight="1" x14ac:dyDescent="0.15">
      <c r="B65" t="s">
        <v>158</v>
      </c>
      <c r="C65" s="12">
        <v>67</v>
      </c>
      <c r="D65" s="8">
        <v>1.81</v>
      </c>
      <c r="E65" s="12">
        <v>36</v>
      </c>
      <c r="F65" s="8">
        <v>1.46</v>
      </c>
      <c r="G65" s="12">
        <v>31</v>
      </c>
      <c r="H65" s="8">
        <v>2.5</v>
      </c>
      <c r="I65" s="12">
        <v>0</v>
      </c>
    </row>
    <row r="66" spans="2:9" ht="15" customHeight="1" x14ac:dyDescent="0.15">
      <c r="B66" t="s">
        <v>139</v>
      </c>
      <c r="C66" s="12">
        <v>64</v>
      </c>
      <c r="D66" s="8">
        <v>1.73</v>
      </c>
      <c r="E66" s="12">
        <v>51</v>
      </c>
      <c r="F66" s="8">
        <v>2.0699999999999998</v>
      </c>
      <c r="G66" s="12">
        <v>13</v>
      </c>
      <c r="H66" s="8">
        <v>1.05</v>
      </c>
      <c r="I66" s="12">
        <v>0</v>
      </c>
    </row>
    <row r="67" spans="2:9" ht="15" customHeight="1" x14ac:dyDescent="0.15">
      <c r="B67" t="s">
        <v>155</v>
      </c>
      <c r="C67" s="12">
        <v>61</v>
      </c>
      <c r="D67" s="8">
        <v>1.65</v>
      </c>
      <c r="E67" s="12">
        <v>53</v>
      </c>
      <c r="F67" s="8">
        <v>2.15</v>
      </c>
      <c r="G67" s="12">
        <v>8</v>
      </c>
      <c r="H67" s="8">
        <v>0.65</v>
      </c>
      <c r="I67" s="12">
        <v>0</v>
      </c>
    </row>
    <row r="68" spans="2:9" ht="15" customHeight="1" x14ac:dyDescent="0.15">
      <c r="B68" t="s">
        <v>137</v>
      </c>
      <c r="C68" s="12">
        <v>48</v>
      </c>
      <c r="D68" s="8">
        <v>1.3</v>
      </c>
      <c r="E68" s="12">
        <v>48</v>
      </c>
      <c r="F68" s="8">
        <v>1.95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159</v>
      </c>
      <c r="C69" s="12">
        <v>47</v>
      </c>
      <c r="D69" s="8">
        <v>1.27</v>
      </c>
      <c r="E69" s="12">
        <v>24</v>
      </c>
      <c r="F69" s="8">
        <v>0.97</v>
      </c>
      <c r="G69" s="12">
        <v>23</v>
      </c>
      <c r="H69" s="8">
        <v>1.85</v>
      </c>
      <c r="I69" s="12">
        <v>0</v>
      </c>
    </row>
    <row r="70" spans="2:9" ht="15" customHeight="1" x14ac:dyDescent="0.15">
      <c r="B70" t="s">
        <v>127</v>
      </c>
      <c r="C70" s="12">
        <v>45</v>
      </c>
      <c r="D70" s="8">
        <v>1.21</v>
      </c>
      <c r="E70" s="12">
        <v>15</v>
      </c>
      <c r="F70" s="8">
        <v>0.61</v>
      </c>
      <c r="G70" s="12">
        <v>30</v>
      </c>
      <c r="H70" s="8">
        <v>2.42</v>
      </c>
      <c r="I70" s="12">
        <v>0</v>
      </c>
    </row>
    <row r="71" spans="2:9" ht="15" customHeight="1" x14ac:dyDescent="0.15">
      <c r="B71" t="s">
        <v>131</v>
      </c>
      <c r="C71" s="12">
        <v>44</v>
      </c>
      <c r="D71" s="8">
        <v>1.19</v>
      </c>
      <c r="E71" s="12">
        <v>21</v>
      </c>
      <c r="F71" s="8">
        <v>0.85</v>
      </c>
      <c r="G71" s="12">
        <v>23</v>
      </c>
      <c r="H71" s="8">
        <v>1.85</v>
      </c>
      <c r="I71" s="12">
        <v>0</v>
      </c>
    </row>
    <row r="73" spans="2:9" ht="15" customHeight="1" x14ac:dyDescent="0.15">
      <c r="B73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245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226</v>
      </c>
      <c r="D6" s="8">
        <v>9.4600000000000009</v>
      </c>
      <c r="E6" s="12">
        <v>66</v>
      </c>
      <c r="F6" s="8">
        <v>4.88</v>
      </c>
      <c r="G6" s="12">
        <v>160</v>
      </c>
      <c r="H6" s="8">
        <v>15.52</v>
      </c>
      <c r="I6" s="12">
        <v>0</v>
      </c>
    </row>
    <row r="7" spans="2:9" ht="15" customHeight="1" x14ac:dyDescent="0.15">
      <c r="B7" t="s">
        <v>53</v>
      </c>
      <c r="C7" s="12">
        <v>195</v>
      </c>
      <c r="D7" s="8">
        <v>8.17</v>
      </c>
      <c r="E7" s="12">
        <v>114</v>
      </c>
      <c r="F7" s="8">
        <v>8.43</v>
      </c>
      <c r="G7" s="12">
        <v>81</v>
      </c>
      <c r="H7" s="8">
        <v>7.86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25</v>
      </c>
      <c r="D9" s="8">
        <v>1.05</v>
      </c>
      <c r="E9" s="12">
        <v>2</v>
      </c>
      <c r="F9" s="8">
        <v>0.15</v>
      </c>
      <c r="G9" s="12">
        <v>23</v>
      </c>
      <c r="H9" s="8">
        <v>2.23</v>
      </c>
      <c r="I9" s="12">
        <v>0</v>
      </c>
    </row>
    <row r="10" spans="2:9" ht="15" customHeight="1" x14ac:dyDescent="0.15">
      <c r="B10" t="s">
        <v>56</v>
      </c>
      <c r="C10" s="12">
        <v>56</v>
      </c>
      <c r="D10" s="8">
        <v>2.35</v>
      </c>
      <c r="E10" s="12">
        <v>30</v>
      </c>
      <c r="F10" s="8">
        <v>2.2200000000000002</v>
      </c>
      <c r="G10" s="12">
        <v>26</v>
      </c>
      <c r="H10" s="8">
        <v>2.52</v>
      </c>
      <c r="I10" s="12">
        <v>0</v>
      </c>
    </row>
    <row r="11" spans="2:9" ht="15" customHeight="1" x14ac:dyDescent="0.15">
      <c r="B11" t="s">
        <v>57</v>
      </c>
      <c r="C11" s="12">
        <v>568</v>
      </c>
      <c r="D11" s="8">
        <v>23.79</v>
      </c>
      <c r="E11" s="12">
        <v>283</v>
      </c>
      <c r="F11" s="8">
        <v>20.93</v>
      </c>
      <c r="G11" s="12">
        <v>285</v>
      </c>
      <c r="H11" s="8">
        <v>27.64</v>
      </c>
      <c r="I11" s="12">
        <v>0</v>
      </c>
    </row>
    <row r="12" spans="2:9" ht="15" customHeight="1" x14ac:dyDescent="0.15">
      <c r="B12" t="s">
        <v>58</v>
      </c>
      <c r="C12" s="12">
        <v>14</v>
      </c>
      <c r="D12" s="8">
        <v>0.59</v>
      </c>
      <c r="E12" s="12">
        <v>1</v>
      </c>
      <c r="F12" s="8">
        <v>7.0000000000000007E-2</v>
      </c>
      <c r="G12" s="12">
        <v>13</v>
      </c>
      <c r="H12" s="8">
        <v>1.26</v>
      </c>
      <c r="I12" s="12">
        <v>0</v>
      </c>
    </row>
    <row r="13" spans="2:9" ht="15" customHeight="1" x14ac:dyDescent="0.15">
      <c r="B13" t="s">
        <v>59</v>
      </c>
      <c r="C13" s="12">
        <v>275</v>
      </c>
      <c r="D13" s="8">
        <v>11.52</v>
      </c>
      <c r="E13" s="12">
        <v>95</v>
      </c>
      <c r="F13" s="8">
        <v>7.03</v>
      </c>
      <c r="G13" s="12">
        <v>179</v>
      </c>
      <c r="H13" s="8">
        <v>17.36</v>
      </c>
      <c r="I13" s="12">
        <v>1</v>
      </c>
    </row>
    <row r="14" spans="2:9" ht="15" customHeight="1" x14ac:dyDescent="0.15">
      <c r="B14" t="s">
        <v>60</v>
      </c>
      <c r="C14" s="12">
        <v>85</v>
      </c>
      <c r="D14" s="8">
        <v>3.56</v>
      </c>
      <c r="E14" s="12">
        <v>45</v>
      </c>
      <c r="F14" s="8">
        <v>3.33</v>
      </c>
      <c r="G14" s="12">
        <v>40</v>
      </c>
      <c r="H14" s="8">
        <v>3.88</v>
      </c>
      <c r="I14" s="12">
        <v>0</v>
      </c>
    </row>
    <row r="15" spans="2:9" ht="15" customHeight="1" x14ac:dyDescent="0.15">
      <c r="B15" t="s">
        <v>61</v>
      </c>
      <c r="C15" s="12">
        <v>368</v>
      </c>
      <c r="D15" s="8">
        <v>15.41</v>
      </c>
      <c r="E15" s="12">
        <v>324</v>
      </c>
      <c r="F15" s="8">
        <v>23.96</v>
      </c>
      <c r="G15" s="12">
        <v>44</v>
      </c>
      <c r="H15" s="8">
        <v>4.2699999999999996</v>
      </c>
      <c r="I15" s="12">
        <v>0</v>
      </c>
    </row>
    <row r="16" spans="2:9" ht="15" customHeight="1" x14ac:dyDescent="0.15">
      <c r="B16" t="s">
        <v>62</v>
      </c>
      <c r="C16" s="12">
        <v>283</v>
      </c>
      <c r="D16" s="8">
        <v>11.85</v>
      </c>
      <c r="E16" s="12">
        <v>212</v>
      </c>
      <c r="F16" s="8">
        <v>15.68</v>
      </c>
      <c r="G16" s="12">
        <v>71</v>
      </c>
      <c r="H16" s="8">
        <v>6.89</v>
      </c>
      <c r="I16" s="12">
        <v>0</v>
      </c>
    </row>
    <row r="17" spans="2:9" ht="15" customHeight="1" x14ac:dyDescent="0.15">
      <c r="B17" t="s">
        <v>63</v>
      </c>
      <c r="C17" s="12">
        <v>102</v>
      </c>
      <c r="D17" s="8">
        <v>4.2699999999999996</v>
      </c>
      <c r="E17" s="12">
        <v>73</v>
      </c>
      <c r="F17" s="8">
        <v>5.4</v>
      </c>
      <c r="G17" s="12">
        <v>28</v>
      </c>
      <c r="H17" s="8">
        <v>2.72</v>
      </c>
      <c r="I17" s="12">
        <v>1</v>
      </c>
    </row>
    <row r="18" spans="2:9" ht="15" customHeight="1" x14ac:dyDescent="0.15">
      <c r="B18" t="s">
        <v>64</v>
      </c>
      <c r="C18" s="12">
        <v>140</v>
      </c>
      <c r="D18" s="8">
        <v>5.86</v>
      </c>
      <c r="E18" s="12">
        <v>85</v>
      </c>
      <c r="F18" s="8">
        <v>6.29</v>
      </c>
      <c r="G18" s="12">
        <v>52</v>
      </c>
      <c r="H18" s="8">
        <v>5.04</v>
      </c>
      <c r="I18" s="12">
        <v>3</v>
      </c>
    </row>
    <row r="19" spans="2:9" ht="15" customHeight="1" x14ac:dyDescent="0.15">
      <c r="B19" t="s">
        <v>65</v>
      </c>
      <c r="C19" s="12">
        <v>51</v>
      </c>
      <c r="D19" s="8">
        <v>2.14</v>
      </c>
      <c r="E19" s="12">
        <v>22</v>
      </c>
      <c r="F19" s="8">
        <v>1.63</v>
      </c>
      <c r="G19" s="12">
        <v>29</v>
      </c>
      <c r="H19" s="8">
        <v>2.81</v>
      </c>
      <c r="I19" s="12">
        <v>0</v>
      </c>
    </row>
    <row r="20" spans="2:9" ht="15" customHeight="1" x14ac:dyDescent="0.15">
      <c r="B20" s="9" t="s">
        <v>215</v>
      </c>
      <c r="C20" s="12">
        <f>SUM(LTBL_28107[総数／事業所数])</f>
        <v>2388</v>
      </c>
      <c r="E20" s="12">
        <f>SUBTOTAL(109,LTBL_28107[個人／事業所数])</f>
        <v>1352</v>
      </c>
      <c r="G20" s="12">
        <f>SUBTOTAL(109,LTBL_28107[法人／事業所数])</f>
        <v>1031</v>
      </c>
      <c r="I20" s="12">
        <f>SUBTOTAL(109,LTBL_28107[法人以外の団体／事業所数])</f>
        <v>5</v>
      </c>
    </row>
    <row r="21" spans="2:9" ht="15" customHeight="1" x14ac:dyDescent="0.15">
      <c r="E21" s="11">
        <f>LTBL_28107[[#Totals],[個人／事業所数]]/LTBL_28107[[#Totals],[総数／事業所数]]</f>
        <v>0.56616415410385257</v>
      </c>
      <c r="G21" s="11">
        <f>LTBL_28107[[#Totals],[法人／事業所数]]/LTBL_28107[[#Totals],[総数／事業所数]]</f>
        <v>0.43174204355108875</v>
      </c>
      <c r="I21" s="11">
        <f>LTBL_28107[[#Totals],[法人以外の団体／事業所数]]/LTBL_28107[[#Totals],[総数／事業所数]]</f>
        <v>2.0938023450586263E-3</v>
      </c>
    </row>
    <row r="23" spans="2:9" ht="33" customHeight="1" x14ac:dyDescent="0.15">
      <c r="B23" t="s">
        <v>214</v>
      </c>
      <c r="C23" s="10" t="s">
        <v>67</v>
      </c>
      <c r="D23" s="10" t="s">
        <v>246</v>
      </c>
      <c r="E23" s="10" t="s">
        <v>69</v>
      </c>
      <c r="F23" s="10" t="s">
        <v>247</v>
      </c>
      <c r="G23" s="10" t="s">
        <v>71</v>
      </c>
      <c r="H23" s="10" t="s">
        <v>223</v>
      </c>
      <c r="I23" s="10" t="s">
        <v>73</v>
      </c>
    </row>
    <row r="24" spans="2:9" ht="15" customHeight="1" x14ac:dyDescent="0.15">
      <c r="B24" t="s">
        <v>217</v>
      </c>
      <c r="C24">
        <v>1</v>
      </c>
      <c r="D24" t="s">
        <v>216</v>
      </c>
      <c r="E24">
        <v>0</v>
      </c>
      <c r="F24" t="s">
        <v>218</v>
      </c>
      <c r="G24">
        <v>1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229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89</v>
      </c>
      <c r="C29" s="12">
        <v>341</v>
      </c>
      <c r="D29" s="8">
        <v>14.28</v>
      </c>
      <c r="E29" s="12">
        <v>314</v>
      </c>
      <c r="F29" s="8">
        <v>23.22</v>
      </c>
      <c r="G29" s="12">
        <v>27</v>
      </c>
      <c r="H29" s="8">
        <v>2.62</v>
      </c>
      <c r="I29" s="12">
        <v>0</v>
      </c>
    </row>
    <row r="30" spans="2:9" ht="15" customHeight="1" x14ac:dyDescent="0.15">
      <c r="B30" t="s">
        <v>90</v>
      </c>
      <c r="C30" s="12">
        <v>237</v>
      </c>
      <c r="D30" s="8">
        <v>9.92</v>
      </c>
      <c r="E30" s="12">
        <v>189</v>
      </c>
      <c r="F30" s="8">
        <v>13.98</v>
      </c>
      <c r="G30" s="12">
        <v>48</v>
      </c>
      <c r="H30" s="8">
        <v>4.66</v>
      </c>
      <c r="I30" s="12">
        <v>0</v>
      </c>
    </row>
    <row r="31" spans="2:9" ht="15" customHeight="1" x14ac:dyDescent="0.15">
      <c r="B31" t="s">
        <v>86</v>
      </c>
      <c r="C31" s="12">
        <v>199</v>
      </c>
      <c r="D31" s="8">
        <v>8.33</v>
      </c>
      <c r="E31" s="12">
        <v>75</v>
      </c>
      <c r="F31" s="8">
        <v>5.55</v>
      </c>
      <c r="G31" s="12">
        <v>123</v>
      </c>
      <c r="H31" s="8">
        <v>11.93</v>
      </c>
      <c r="I31" s="12">
        <v>1</v>
      </c>
    </row>
    <row r="32" spans="2:9" ht="15" customHeight="1" x14ac:dyDescent="0.15">
      <c r="B32" t="s">
        <v>82</v>
      </c>
      <c r="C32" s="12">
        <v>150</v>
      </c>
      <c r="D32" s="8">
        <v>6.28</v>
      </c>
      <c r="E32" s="12">
        <v>100</v>
      </c>
      <c r="F32" s="8">
        <v>7.4</v>
      </c>
      <c r="G32" s="12">
        <v>50</v>
      </c>
      <c r="H32" s="8">
        <v>4.8499999999999996</v>
      </c>
      <c r="I32" s="12">
        <v>0</v>
      </c>
    </row>
    <row r="33" spans="2:9" ht="15" customHeight="1" x14ac:dyDescent="0.15">
      <c r="B33" t="s">
        <v>84</v>
      </c>
      <c r="C33" s="12">
        <v>136</v>
      </c>
      <c r="D33" s="8">
        <v>5.7</v>
      </c>
      <c r="E33" s="12">
        <v>82</v>
      </c>
      <c r="F33" s="8">
        <v>6.07</v>
      </c>
      <c r="G33" s="12">
        <v>54</v>
      </c>
      <c r="H33" s="8">
        <v>5.24</v>
      </c>
      <c r="I33" s="12">
        <v>0</v>
      </c>
    </row>
    <row r="34" spans="2:9" ht="15" customHeight="1" x14ac:dyDescent="0.15">
      <c r="B34" t="s">
        <v>74</v>
      </c>
      <c r="C34" s="12">
        <v>103</v>
      </c>
      <c r="D34" s="8">
        <v>4.3099999999999996</v>
      </c>
      <c r="E34" s="12">
        <v>21</v>
      </c>
      <c r="F34" s="8">
        <v>1.55</v>
      </c>
      <c r="G34" s="12">
        <v>82</v>
      </c>
      <c r="H34" s="8">
        <v>7.95</v>
      </c>
      <c r="I34" s="12">
        <v>0</v>
      </c>
    </row>
    <row r="35" spans="2:9" ht="15" customHeight="1" x14ac:dyDescent="0.15">
      <c r="B35" t="s">
        <v>92</v>
      </c>
      <c r="C35" s="12">
        <v>102</v>
      </c>
      <c r="D35" s="8">
        <v>4.2699999999999996</v>
      </c>
      <c r="E35" s="12">
        <v>73</v>
      </c>
      <c r="F35" s="8">
        <v>5.4</v>
      </c>
      <c r="G35" s="12">
        <v>28</v>
      </c>
      <c r="H35" s="8">
        <v>2.72</v>
      </c>
      <c r="I35" s="12">
        <v>1</v>
      </c>
    </row>
    <row r="36" spans="2:9" ht="15" customHeight="1" x14ac:dyDescent="0.15">
      <c r="B36" t="s">
        <v>93</v>
      </c>
      <c r="C36" s="12">
        <v>90</v>
      </c>
      <c r="D36" s="8">
        <v>3.77</v>
      </c>
      <c r="E36" s="12">
        <v>81</v>
      </c>
      <c r="F36" s="8">
        <v>5.99</v>
      </c>
      <c r="G36" s="12">
        <v>9</v>
      </c>
      <c r="H36" s="8">
        <v>0.87</v>
      </c>
      <c r="I36" s="12">
        <v>0</v>
      </c>
    </row>
    <row r="37" spans="2:9" ht="15" customHeight="1" x14ac:dyDescent="0.15">
      <c r="B37" t="s">
        <v>81</v>
      </c>
      <c r="C37" s="12">
        <v>82</v>
      </c>
      <c r="D37" s="8">
        <v>3.43</v>
      </c>
      <c r="E37" s="12">
        <v>39</v>
      </c>
      <c r="F37" s="8">
        <v>2.88</v>
      </c>
      <c r="G37" s="12">
        <v>43</v>
      </c>
      <c r="H37" s="8">
        <v>4.17</v>
      </c>
      <c r="I37" s="12">
        <v>0</v>
      </c>
    </row>
    <row r="38" spans="2:9" ht="15" customHeight="1" x14ac:dyDescent="0.15">
      <c r="B38" t="s">
        <v>76</v>
      </c>
      <c r="C38" s="12">
        <v>72</v>
      </c>
      <c r="D38" s="8">
        <v>3.02</v>
      </c>
      <c r="E38" s="12">
        <v>24</v>
      </c>
      <c r="F38" s="8">
        <v>1.78</v>
      </c>
      <c r="G38" s="12">
        <v>48</v>
      </c>
      <c r="H38" s="8">
        <v>4.66</v>
      </c>
      <c r="I38" s="12">
        <v>0</v>
      </c>
    </row>
    <row r="39" spans="2:9" ht="15" customHeight="1" x14ac:dyDescent="0.15">
      <c r="B39" t="s">
        <v>85</v>
      </c>
      <c r="C39" s="12">
        <v>69</v>
      </c>
      <c r="D39" s="8">
        <v>2.89</v>
      </c>
      <c r="E39" s="12">
        <v>20</v>
      </c>
      <c r="F39" s="8">
        <v>1.48</v>
      </c>
      <c r="G39" s="12">
        <v>49</v>
      </c>
      <c r="H39" s="8">
        <v>4.75</v>
      </c>
      <c r="I39" s="12">
        <v>0</v>
      </c>
    </row>
    <row r="40" spans="2:9" ht="15" customHeight="1" x14ac:dyDescent="0.15">
      <c r="B40" t="s">
        <v>83</v>
      </c>
      <c r="C40" s="12">
        <v>58</v>
      </c>
      <c r="D40" s="8">
        <v>2.4300000000000002</v>
      </c>
      <c r="E40" s="12">
        <v>36</v>
      </c>
      <c r="F40" s="8">
        <v>2.66</v>
      </c>
      <c r="G40" s="12">
        <v>22</v>
      </c>
      <c r="H40" s="8">
        <v>2.13</v>
      </c>
      <c r="I40" s="12">
        <v>0</v>
      </c>
    </row>
    <row r="41" spans="2:9" ht="15" customHeight="1" x14ac:dyDescent="0.15">
      <c r="B41" t="s">
        <v>75</v>
      </c>
      <c r="C41" s="12">
        <v>51</v>
      </c>
      <c r="D41" s="8">
        <v>2.14</v>
      </c>
      <c r="E41" s="12">
        <v>21</v>
      </c>
      <c r="F41" s="8">
        <v>1.55</v>
      </c>
      <c r="G41" s="12">
        <v>30</v>
      </c>
      <c r="H41" s="8">
        <v>2.91</v>
      </c>
      <c r="I41" s="12">
        <v>0</v>
      </c>
    </row>
    <row r="42" spans="2:9" ht="15" customHeight="1" x14ac:dyDescent="0.15">
      <c r="B42" t="s">
        <v>94</v>
      </c>
      <c r="C42" s="12">
        <v>50</v>
      </c>
      <c r="D42" s="8">
        <v>2.09</v>
      </c>
      <c r="E42" s="12">
        <v>4</v>
      </c>
      <c r="F42" s="8">
        <v>0.3</v>
      </c>
      <c r="G42" s="12">
        <v>43</v>
      </c>
      <c r="H42" s="8">
        <v>4.17</v>
      </c>
      <c r="I42" s="12">
        <v>3</v>
      </c>
    </row>
    <row r="43" spans="2:9" ht="15" customHeight="1" x14ac:dyDescent="0.15">
      <c r="B43" t="s">
        <v>99</v>
      </c>
      <c r="C43" s="12">
        <v>43</v>
      </c>
      <c r="D43" s="8">
        <v>1.8</v>
      </c>
      <c r="E43" s="12">
        <v>31</v>
      </c>
      <c r="F43" s="8">
        <v>2.29</v>
      </c>
      <c r="G43" s="12">
        <v>12</v>
      </c>
      <c r="H43" s="8">
        <v>1.1599999999999999</v>
      </c>
      <c r="I43" s="12">
        <v>0</v>
      </c>
    </row>
    <row r="44" spans="2:9" ht="15" customHeight="1" x14ac:dyDescent="0.15">
      <c r="B44" t="s">
        <v>88</v>
      </c>
      <c r="C44" s="12">
        <v>43</v>
      </c>
      <c r="D44" s="8">
        <v>1.8</v>
      </c>
      <c r="E44" s="12">
        <v>17</v>
      </c>
      <c r="F44" s="8">
        <v>1.26</v>
      </c>
      <c r="G44" s="12">
        <v>26</v>
      </c>
      <c r="H44" s="8">
        <v>2.52</v>
      </c>
      <c r="I44" s="12">
        <v>0</v>
      </c>
    </row>
    <row r="45" spans="2:9" ht="15" customHeight="1" x14ac:dyDescent="0.15">
      <c r="B45" t="s">
        <v>87</v>
      </c>
      <c r="C45" s="12">
        <v>41</v>
      </c>
      <c r="D45" s="8">
        <v>1.72</v>
      </c>
      <c r="E45" s="12">
        <v>28</v>
      </c>
      <c r="F45" s="8">
        <v>2.0699999999999998</v>
      </c>
      <c r="G45" s="12">
        <v>13</v>
      </c>
      <c r="H45" s="8">
        <v>1.26</v>
      </c>
      <c r="I45" s="12">
        <v>0</v>
      </c>
    </row>
    <row r="46" spans="2:9" ht="15" customHeight="1" x14ac:dyDescent="0.15">
      <c r="B46" t="s">
        <v>100</v>
      </c>
      <c r="C46" s="12">
        <v>35</v>
      </c>
      <c r="D46" s="8">
        <v>1.47</v>
      </c>
      <c r="E46" s="12">
        <v>25</v>
      </c>
      <c r="F46" s="8">
        <v>1.85</v>
      </c>
      <c r="G46" s="12">
        <v>10</v>
      </c>
      <c r="H46" s="8">
        <v>0.97</v>
      </c>
      <c r="I46" s="12">
        <v>0</v>
      </c>
    </row>
    <row r="47" spans="2:9" ht="15" customHeight="1" x14ac:dyDescent="0.15">
      <c r="B47" t="s">
        <v>91</v>
      </c>
      <c r="C47" s="12">
        <v>31</v>
      </c>
      <c r="D47" s="8">
        <v>1.3</v>
      </c>
      <c r="E47" s="12">
        <v>18</v>
      </c>
      <c r="F47" s="8">
        <v>1.33</v>
      </c>
      <c r="G47" s="12">
        <v>13</v>
      </c>
      <c r="H47" s="8">
        <v>1.26</v>
      </c>
      <c r="I47" s="12">
        <v>0</v>
      </c>
    </row>
    <row r="48" spans="2:9" ht="15" customHeight="1" x14ac:dyDescent="0.15">
      <c r="B48" t="s">
        <v>78</v>
      </c>
      <c r="C48" s="12">
        <v>29</v>
      </c>
      <c r="D48" s="8">
        <v>1.21</v>
      </c>
      <c r="E48" s="12">
        <v>1</v>
      </c>
      <c r="F48" s="8">
        <v>7.0000000000000007E-2</v>
      </c>
      <c r="G48" s="12">
        <v>28</v>
      </c>
      <c r="H48" s="8">
        <v>2.72</v>
      </c>
      <c r="I48" s="12">
        <v>0</v>
      </c>
    </row>
    <row r="51" spans="2:9" ht="33" customHeight="1" x14ac:dyDescent="0.15">
      <c r="B51" t="s">
        <v>248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141</v>
      </c>
      <c r="C52" s="12">
        <v>112</v>
      </c>
      <c r="D52" s="8">
        <v>4.6900000000000004</v>
      </c>
      <c r="E52" s="12">
        <v>95</v>
      </c>
      <c r="F52" s="8">
        <v>7.03</v>
      </c>
      <c r="G52" s="12">
        <v>17</v>
      </c>
      <c r="H52" s="8">
        <v>1.65</v>
      </c>
      <c r="I52" s="12">
        <v>0</v>
      </c>
    </row>
    <row r="53" spans="2:9" ht="15" customHeight="1" x14ac:dyDescent="0.15">
      <c r="B53" t="s">
        <v>138</v>
      </c>
      <c r="C53" s="12">
        <v>104</v>
      </c>
      <c r="D53" s="8">
        <v>4.3600000000000003</v>
      </c>
      <c r="E53" s="12">
        <v>98</v>
      </c>
      <c r="F53" s="8">
        <v>7.25</v>
      </c>
      <c r="G53" s="12">
        <v>6</v>
      </c>
      <c r="H53" s="8">
        <v>0.57999999999999996</v>
      </c>
      <c r="I53" s="12">
        <v>0</v>
      </c>
    </row>
    <row r="54" spans="2:9" ht="15" customHeight="1" x14ac:dyDescent="0.15">
      <c r="B54" t="s">
        <v>134</v>
      </c>
      <c r="C54" s="12">
        <v>98</v>
      </c>
      <c r="D54" s="8">
        <v>4.0999999999999996</v>
      </c>
      <c r="E54" s="12">
        <v>43</v>
      </c>
      <c r="F54" s="8">
        <v>3.18</v>
      </c>
      <c r="G54" s="12">
        <v>55</v>
      </c>
      <c r="H54" s="8">
        <v>5.33</v>
      </c>
      <c r="I54" s="12">
        <v>0</v>
      </c>
    </row>
    <row r="55" spans="2:9" ht="15" customHeight="1" x14ac:dyDescent="0.15">
      <c r="B55" t="s">
        <v>135</v>
      </c>
      <c r="C55" s="12">
        <v>72</v>
      </c>
      <c r="D55" s="8">
        <v>3.02</v>
      </c>
      <c r="E55" s="12">
        <v>65</v>
      </c>
      <c r="F55" s="8">
        <v>4.8099999999999996</v>
      </c>
      <c r="G55" s="12">
        <v>7</v>
      </c>
      <c r="H55" s="8">
        <v>0.68</v>
      </c>
      <c r="I55" s="12">
        <v>0</v>
      </c>
    </row>
    <row r="56" spans="2:9" ht="15" customHeight="1" x14ac:dyDescent="0.15">
      <c r="B56" t="s">
        <v>140</v>
      </c>
      <c r="C56" s="12">
        <v>63</v>
      </c>
      <c r="D56" s="8">
        <v>2.64</v>
      </c>
      <c r="E56" s="12">
        <v>56</v>
      </c>
      <c r="F56" s="8">
        <v>4.1399999999999997</v>
      </c>
      <c r="G56" s="12">
        <v>7</v>
      </c>
      <c r="H56" s="8">
        <v>0.68</v>
      </c>
      <c r="I56" s="12">
        <v>0</v>
      </c>
    </row>
    <row r="57" spans="2:9" ht="15" customHeight="1" x14ac:dyDescent="0.15">
      <c r="B57" t="s">
        <v>143</v>
      </c>
      <c r="C57" s="12">
        <v>62</v>
      </c>
      <c r="D57" s="8">
        <v>2.6</v>
      </c>
      <c r="E57" s="12">
        <v>49</v>
      </c>
      <c r="F57" s="8">
        <v>3.62</v>
      </c>
      <c r="G57" s="12">
        <v>12</v>
      </c>
      <c r="H57" s="8">
        <v>1.1599999999999999</v>
      </c>
      <c r="I57" s="12">
        <v>1</v>
      </c>
    </row>
    <row r="58" spans="2:9" ht="15" customHeight="1" x14ac:dyDescent="0.15">
      <c r="B58" t="s">
        <v>136</v>
      </c>
      <c r="C58" s="12">
        <v>60</v>
      </c>
      <c r="D58" s="8">
        <v>2.5099999999999998</v>
      </c>
      <c r="E58" s="12">
        <v>57</v>
      </c>
      <c r="F58" s="8">
        <v>4.22</v>
      </c>
      <c r="G58" s="12">
        <v>3</v>
      </c>
      <c r="H58" s="8">
        <v>0.28999999999999998</v>
      </c>
      <c r="I58" s="12">
        <v>0</v>
      </c>
    </row>
    <row r="59" spans="2:9" ht="15" customHeight="1" x14ac:dyDescent="0.15">
      <c r="B59" t="s">
        <v>144</v>
      </c>
      <c r="C59" s="12">
        <v>59</v>
      </c>
      <c r="D59" s="8">
        <v>2.4700000000000002</v>
      </c>
      <c r="E59" s="12">
        <v>55</v>
      </c>
      <c r="F59" s="8">
        <v>4.07</v>
      </c>
      <c r="G59" s="12">
        <v>4</v>
      </c>
      <c r="H59" s="8">
        <v>0.39</v>
      </c>
      <c r="I59" s="12">
        <v>0</v>
      </c>
    </row>
    <row r="60" spans="2:9" ht="15" customHeight="1" x14ac:dyDescent="0.15">
      <c r="B60" t="s">
        <v>129</v>
      </c>
      <c r="C60" s="12">
        <v>55</v>
      </c>
      <c r="D60" s="8">
        <v>2.2999999999999998</v>
      </c>
      <c r="E60" s="12">
        <v>32</v>
      </c>
      <c r="F60" s="8">
        <v>2.37</v>
      </c>
      <c r="G60" s="12">
        <v>23</v>
      </c>
      <c r="H60" s="8">
        <v>2.23</v>
      </c>
      <c r="I60" s="12">
        <v>0</v>
      </c>
    </row>
    <row r="61" spans="2:9" ht="15" customHeight="1" x14ac:dyDescent="0.15">
      <c r="B61" t="s">
        <v>133</v>
      </c>
      <c r="C61" s="12">
        <v>54</v>
      </c>
      <c r="D61" s="8">
        <v>2.2599999999999998</v>
      </c>
      <c r="E61" s="12">
        <v>16</v>
      </c>
      <c r="F61" s="8">
        <v>1.18</v>
      </c>
      <c r="G61" s="12">
        <v>38</v>
      </c>
      <c r="H61" s="8">
        <v>3.69</v>
      </c>
      <c r="I61" s="12">
        <v>0</v>
      </c>
    </row>
    <row r="62" spans="2:9" ht="15" customHeight="1" x14ac:dyDescent="0.15">
      <c r="B62" t="s">
        <v>132</v>
      </c>
      <c r="C62" s="12">
        <v>51</v>
      </c>
      <c r="D62" s="8">
        <v>2.14</v>
      </c>
      <c r="E62" s="12">
        <v>33</v>
      </c>
      <c r="F62" s="8">
        <v>2.44</v>
      </c>
      <c r="G62" s="12">
        <v>18</v>
      </c>
      <c r="H62" s="8">
        <v>1.75</v>
      </c>
      <c r="I62" s="12">
        <v>0</v>
      </c>
    </row>
    <row r="63" spans="2:9" ht="15" customHeight="1" x14ac:dyDescent="0.15">
      <c r="B63" t="s">
        <v>139</v>
      </c>
      <c r="C63" s="12">
        <v>51</v>
      </c>
      <c r="D63" s="8">
        <v>2.14</v>
      </c>
      <c r="E63" s="12">
        <v>32</v>
      </c>
      <c r="F63" s="8">
        <v>2.37</v>
      </c>
      <c r="G63" s="12">
        <v>19</v>
      </c>
      <c r="H63" s="8">
        <v>1.84</v>
      </c>
      <c r="I63" s="12">
        <v>0</v>
      </c>
    </row>
    <row r="64" spans="2:9" ht="15" customHeight="1" x14ac:dyDescent="0.15">
      <c r="B64" t="s">
        <v>149</v>
      </c>
      <c r="C64" s="12">
        <v>39</v>
      </c>
      <c r="D64" s="8">
        <v>1.63</v>
      </c>
      <c r="E64" s="12">
        <v>5</v>
      </c>
      <c r="F64" s="8">
        <v>0.37</v>
      </c>
      <c r="G64" s="12">
        <v>34</v>
      </c>
      <c r="H64" s="8">
        <v>3.3</v>
      </c>
      <c r="I64" s="12">
        <v>0</v>
      </c>
    </row>
    <row r="65" spans="2:9" ht="15" customHeight="1" x14ac:dyDescent="0.15">
      <c r="B65" t="s">
        <v>128</v>
      </c>
      <c r="C65" s="12">
        <v>38</v>
      </c>
      <c r="D65" s="8">
        <v>1.59</v>
      </c>
      <c r="E65" s="12">
        <v>18</v>
      </c>
      <c r="F65" s="8">
        <v>1.33</v>
      </c>
      <c r="G65" s="12">
        <v>20</v>
      </c>
      <c r="H65" s="8">
        <v>1.94</v>
      </c>
      <c r="I65" s="12">
        <v>0</v>
      </c>
    </row>
    <row r="66" spans="2:9" ht="15" customHeight="1" x14ac:dyDescent="0.15">
      <c r="B66" t="s">
        <v>148</v>
      </c>
      <c r="C66" s="12">
        <v>37</v>
      </c>
      <c r="D66" s="8">
        <v>1.55</v>
      </c>
      <c r="E66" s="12">
        <v>26</v>
      </c>
      <c r="F66" s="8">
        <v>1.92</v>
      </c>
      <c r="G66" s="12">
        <v>11</v>
      </c>
      <c r="H66" s="8">
        <v>1.07</v>
      </c>
      <c r="I66" s="12">
        <v>0</v>
      </c>
    </row>
    <row r="67" spans="2:9" ht="15" customHeight="1" x14ac:dyDescent="0.15">
      <c r="B67" t="s">
        <v>153</v>
      </c>
      <c r="C67" s="12">
        <v>36</v>
      </c>
      <c r="D67" s="8">
        <v>1.51</v>
      </c>
      <c r="E67" s="12">
        <v>9</v>
      </c>
      <c r="F67" s="8">
        <v>0.67</v>
      </c>
      <c r="G67" s="12">
        <v>27</v>
      </c>
      <c r="H67" s="8">
        <v>2.62</v>
      </c>
      <c r="I67" s="12">
        <v>0</v>
      </c>
    </row>
    <row r="68" spans="2:9" ht="15" customHeight="1" x14ac:dyDescent="0.15">
      <c r="B68" t="s">
        <v>156</v>
      </c>
      <c r="C68" s="12">
        <v>35</v>
      </c>
      <c r="D68" s="8">
        <v>1.47</v>
      </c>
      <c r="E68" s="12">
        <v>30</v>
      </c>
      <c r="F68" s="8">
        <v>2.2200000000000002</v>
      </c>
      <c r="G68" s="12">
        <v>5</v>
      </c>
      <c r="H68" s="8">
        <v>0.48</v>
      </c>
      <c r="I68" s="12">
        <v>0</v>
      </c>
    </row>
    <row r="69" spans="2:9" ht="15" customHeight="1" x14ac:dyDescent="0.15">
      <c r="B69" t="s">
        <v>151</v>
      </c>
      <c r="C69" s="12">
        <v>34</v>
      </c>
      <c r="D69" s="8">
        <v>1.42</v>
      </c>
      <c r="E69" s="12">
        <v>31</v>
      </c>
      <c r="F69" s="8">
        <v>2.29</v>
      </c>
      <c r="G69" s="12">
        <v>3</v>
      </c>
      <c r="H69" s="8">
        <v>0.28999999999999998</v>
      </c>
      <c r="I69" s="12">
        <v>0</v>
      </c>
    </row>
    <row r="70" spans="2:9" ht="15" customHeight="1" x14ac:dyDescent="0.15">
      <c r="B70" t="s">
        <v>130</v>
      </c>
      <c r="C70" s="12">
        <v>32</v>
      </c>
      <c r="D70" s="8">
        <v>1.34</v>
      </c>
      <c r="E70" s="12">
        <v>25</v>
      </c>
      <c r="F70" s="8">
        <v>1.85</v>
      </c>
      <c r="G70" s="12">
        <v>7</v>
      </c>
      <c r="H70" s="8">
        <v>0.68</v>
      </c>
      <c r="I70" s="12">
        <v>0</v>
      </c>
    </row>
    <row r="71" spans="2:9" ht="15" customHeight="1" x14ac:dyDescent="0.15">
      <c r="B71" t="s">
        <v>127</v>
      </c>
      <c r="C71" s="12">
        <v>31</v>
      </c>
      <c r="D71" s="8">
        <v>1.3</v>
      </c>
      <c r="E71" s="12">
        <v>13</v>
      </c>
      <c r="F71" s="8">
        <v>0.96</v>
      </c>
      <c r="G71" s="12">
        <v>18</v>
      </c>
      <c r="H71" s="8">
        <v>1.75</v>
      </c>
      <c r="I71" s="12">
        <v>0</v>
      </c>
    </row>
    <row r="72" spans="2:9" ht="15" customHeight="1" x14ac:dyDescent="0.15">
      <c r="B72" t="s">
        <v>142</v>
      </c>
      <c r="C72" s="12">
        <v>31</v>
      </c>
      <c r="D72" s="8">
        <v>1.3</v>
      </c>
      <c r="E72" s="12">
        <v>24</v>
      </c>
      <c r="F72" s="8">
        <v>1.78</v>
      </c>
      <c r="G72" s="12">
        <v>7</v>
      </c>
      <c r="H72" s="8">
        <v>0.68</v>
      </c>
      <c r="I72" s="12">
        <v>0</v>
      </c>
    </row>
    <row r="74" spans="2:9" ht="15" customHeight="1" x14ac:dyDescent="0.15">
      <c r="B74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249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288</v>
      </c>
      <c r="D6" s="8">
        <v>9.7100000000000009</v>
      </c>
      <c r="E6" s="12">
        <v>72</v>
      </c>
      <c r="F6" s="8">
        <v>4.07</v>
      </c>
      <c r="G6" s="12">
        <v>216</v>
      </c>
      <c r="H6" s="8">
        <v>18.149999999999999</v>
      </c>
      <c r="I6" s="12">
        <v>0</v>
      </c>
    </row>
    <row r="7" spans="2:9" ht="15" customHeight="1" x14ac:dyDescent="0.15">
      <c r="B7" t="s">
        <v>53</v>
      </c>
      <c r="C7" s="12">
        <v>89</v>
      </c>
      <c r="D7" s="8">
        <v>3</v>
      </c>
      <c r="E7" s="12">
        <v>43</v>
      </c>
      <c r="F7" s="8">
        <v>2.4300000000000002</v>
      </c>
      <c r="G7" s="12">
        <v>46</v>
      </c>
      <c r="H7" s="8">
        <v>3.87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23</v>
      </c>
      <c r="D9" s="8">
        <v>0.78</v>
      </c>
      <c r="E9" s="12">
        <v>2</v>
      </c>
      <c r="F9" s="8">
        <v>0.11</v>
      </c>
      <c r="G9" s="12">
        <v>21</v>
      </c>
      <c r="H9" s="8">
        <v>1.76</v>
      </c>
      <c r="I9" s="12">
        <v>0</v>
      </c>
    </row>
    <row r="10" spans="2:9" ht="15" customHeight="1" x14ac:dyDescent="0.15">
      <c r="B10" t="s">
        <v>56</v>
      </c>
      <c r="C10" s="12">
        <v>40</v>
      </c>
      <c r="D10" s="8">
        <v>1.35</v>
      </c>
      <c r="E10" s="12">
        <v>26</v>
      </c>
      <c r="F10" s="8">
        <v>1.47</v>
      </c>
      <c r="G10" s="12">
        <v>14</v>
      </c>
      <c r="H10" s="8">
        <v>1.18</v>
      </c>
      <c r="I10" s="12">
        <v>0</v>
      </c>
    </row>
    <row r="11" spans="2:9" ht="15" customHeight="1" x14ac:dyDescent="0.15">
      <c r="B11" t="s">
        <v>57</v>
      </c>
      <c r="C11" s="12">
        <v>690</v>
      </c>
      <c r="D11" s="8">
        <v>23.27</v>
      </c>
      <c r="E11" s="12">
        <v>368</v>
      </c>
      <c r="F11" s="8">
        <v>20.8</v>
      </c>
      <c r="G11" s="12">
        <v>322</v>
      </c>
      <c r="H11" s="8">
        <v>27.06</v>
      </c>
      <c r="I11" s="12">
        <v>0</v>
      </c>
    </row>
    <row r="12" spans="2:9" ht="15" customHeight="1" x14ac:dyDescent="0.15">
      <c r="B12" t="s">
        <v>58</v>
      </c>
      <c r="C12" s="12">
        <v>22</v>
      </c>
      <c r="D12" s="8">
        <v>0.74</v>
      </c>
      <c r="E12" s="12">
        <v>5</v>
      </c>
      <c r="F12" s="8">
        <v>0.28000000000000003</v>
      </c>
      <c r="G12" s="12">
        <v>17</v>
      </c>
      <c r="H12" s="8">
        <v>1.43</v>
      </c>
      <c r="I12" s="12">
        <v>0</v>
      </c>
    </row>
    <row r="13" spans="2:9" ht="15" customHeight="1" x14ac:dyDescent="0.15">
      <c r="B13" t="s">
        <v>59</v>
      </c>
      <c r="C13" s="12">
        <v>365</v>
      </c>
      <c r="D13" s="8">
        <v>12.31</v>
      </c>
      <c r="E13" s="12">
        <v>154</v>
      </c>
      <c r="F13" s="8">
        <v>8.7100000000000009</v>
      </c>
      <c r="G13" s="12">
        <v>209</v>
      </c>
      <c r="H13" s="8">
        <v>17.559999999999999</v>
      </c>
      <c r="I13" s="12">
        <v>2</v>
      </c>
    </row>
    <row r="14" spans="2:9" ht="15" customHeight="1" x14ac:dyDescent="0.15">
      <c r="B14" t="s">
        <v>60</v>
      </c>
      <c r="C14" s="12">
        <v>140</v>
      </c>
      <c r="D14" s="8">
        <v>4.72</v>
      </c>
      <c r="E14" s="12">
        <v>84</v>
      </c>
      <c r="F14" s="8">
        <v>4.75</v>
      </c>
      <c r="G14" s="12">
        <v>56</v>
      </c>
      <c r="H14" s="8">
        <v>4.71</v>
      </c>
      <c r="I14" s="12">
        <v>0</v>
      </c>
    </row>
    <row r="15" spans="2:9" ht="15" customHeight="1" x14ac:dyDescent="0.15">
      <c r="B15" t="s">
        <v>61</v>
      </c>
      <c r="C15" s="12">
        <v>393</v>
      </c>
      <c r="D15" s="8">
        <v>13.25</v>
      </c>
      <c r="E15" s="12">
        <v>345</v>
      </c>
      <c r="F15" s="8">
        <v>19.5</v>
      </c>
      <c r="G15" s="12">
        <v>48</v>
      </c>
      <c r="H15" s="8">
        <v>4.03</v>
      </c>
      <c r="I15" s="12">
        <v>0</v>
      </c>
    </row>
    <row r="16" spans="2:9" ht="15" customHeight="1" x14ac:dyDescent="0.15">
      <c r="B16" t="s">
        <v>62</v>
      </c>
      <c r="C16" s="12">
        <v>456</v>
      </c>
      <c r="D16" s="8">
        <v>15.38</v>
      </c>
      <c r="E16" s="12">
        <v>365</v>
      </c>
      <c r="F16" s="8">
        <v>20.63</v>
      </c>
      <c r="G16" s="12">
        <v>90</v>
      </c>
      <c r="H16" s="8">
        <v>7.56</v>
      </c>
      <c r="I16" s="12">
        <v>1</v>
      </c>
    </row>
    <row r="17" spans="2:9" ht="15" customHeight="1" x14ac:dyDescent="0.15">
      <c r="B17" t="s">
        <v>63</v>
      </c>
      <c r="C17" s="12">
        <v>199</v>
      </c>
      <c r="D17" s="8">
        <v>6.71</v>
      </c>
      <c r="E17" s="12">
        <v>153</v>
      </c>
      <c r="F17" s="8">
        <v>8.65</v>
      </c>
      <c r="G17" s="12">
        <v>44</v>
      </c>
      <c r="H17" s="8">
        <v>3.7</v>
      </c>
      <c r="I17" s="12">
        <v>2</v>
      </c>
    </row>
    <row r="18" spans="2:9" ht="15" customHeight="1" x14ac:dyDescent="0.15">
      <c r="B18" t="s">
        <v>64</v>
      </c>
      <c r="C18" s="12">
        <v>189</v>
      </c>
      <c r="D18" s="8">
        <v>6.37</v>
      </c>
      <c r="E18" s="12">
        <v>119</v>
      </c>
      <c r="F18" s="8">
        <v>6.73</v>
      </c>
      <c r="G18" s="12">
        <v>70</v>
      </c>
      <c r="H18" s="8">
        <v>5.88</v>
      </c>
      <c r="I18" s="12">
        <v>0</v>
      </c>
    </row>
    <row r="19" spans="2:9" ht="15" customHeight="1" x14ac:dyDescent="0.15">
      <c r="B19" t="s">
        <v>65</v>
      </c>
      <c r="C19" s="12">
        <v>71</v>
      </c>
      <c r="D19" s="8">
        <v>2.39</v>
      </c>
      <c r="E19" s="12">
        <v>33</v>
      </c>
      <c r="F19" s="8">
        <v>1.87</v>
      </c>
      <c r="G19" s="12">
        <v>37</v>
      </c>
      <c r="H19" s="8">
        <v>3.11</v>
      </c>
      <c r="I19" s="12">
        <v>1</v>
      </c>
    </row>
    <row r="20" spans="2:9" ht="15" customHeight="1" x14ac:dyDescent="0.15">
      <c r="B20" s="9" t="s">
        <v>215</v>
      </c>
      <c r="C20" s="12">
        <f>SUM(LTBL_28108[総数／事業所数])</f>
        <v>2965</v>
      </c>
      <c r="E20" s="12">
        <f>SUBTOTAL(109,LTBL_28108[個人／事業所数])</f>
        <v>1769</v>
      </c>
      <c r="G20" s="12">
        <f>SUBTOTAL(109,LTBL_28108[法人／事業所数])</f>
        <v>1190</v>
      </c>
      <c r="I20" s="12">
        <f>SUBTOTAL(109,LTBL_28108[法人以外の団体／事業所数])</f>
        <v>6</v>
      </c>
    </row>
    <row r="21" spans="2:9" ht="15" customHeight="1" x14ac:dyDescent="0.15">
      <c r="E21" s="11">
        <f>LTBL_28108[[#Totals],[個人／事業所数]]/LTBL_28108[[#Totals],[総数／事業所数]]</f>
        <v>0.59662731871838115</v>
      </c>
      <c r="G21" s="11">
        <f>LTBL_28108[[#Totals],[法人／事業所数]]/LTBL_28108[[#Totals],[総数／事業所数]]</f>
        <v>0.40134907251264756</v>
      </c>
      <c r="I21" s="11">
        <f>LTBL_28108[[#Totals],[法人以外の団体／事業所数]]/LTBL_28108[[#Totals],[総数／事業所数]]</f>
        <v>2.023608768971332E-3</v>
      </c>
    </row>
    <row r="23" spans="2:9" ht="33" customHeight="1" x14ac:dyDescent="0.15">
      <c r="B23" t="s">
        <v>214</v>
      </c>
      <c r="C23" s="10" t="s">
        <v>67</v>
      </c>
      <c r="D23" s="10" t="s">
        <v>250</v>
      </c>
      <c r="E23" s="10" t="s">
        <v>69</v>
      </c>
      <c r="F23" s="10" t="s">
        <v>251</v>
      </c>
      <c r="G23" s="10" t="s">
        <v>71</v>
      </c>
      <c r="H23" s="10" t="s">
        <v>252</v>
      </c>
      <c r="I23" s="10" t="s">
        <v>73</v>
      </c>
    </row>
    <row r="24" spans="2:9" ht="15" customHeight="1" x14ac:dyDescent="0.15">
      <c r="B24" t="s">
        <v>217</v>
      </c>
      <c r="C24">
        <v>0</v>
      </c>
      <c r="D24" t="s">
        <v>216</v>
      </c>
      <c r="E24">
        <v>0</v>
      </c>
      <c r="F24" t="s">
        <v>218</v>
      </c>
      <c r="G24">
        <v>0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253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90</v>
      </c>
      <c r="C29" s="12">
        <v>390</v>
      </c>
      <c r="D29" s="8">
        <v>13.15</v>
      </c>
      <c r="E29" s="12">
        <v>331</v>
      </c>
      <c r="F29" s="8">
        <v>18.71</v>
      </c>
      <c r="G29" s="12">
        <v>59</v>
      </c>
      <c r="H29" s="8">
        <v>4.96</v>
      </c>
      <c r="I29" s="12">
        <v>0</v>
      </c>
    </row>
    <row r="30" spans="2:9" ht="15" customHeight="1" x14ac:dyDescent="0.15">
      <c r="B30" t="s">
        <v>89</v>
      </c>
      <c r="C30" s="12">
        <v>369</v>
      </c>
      <c r="D30" s="8">
        <v>12.45</v>
      </c>
      <c r="E30" s="12">
        <v>338</v>
      </c>
      <c r="F30" s="8">
        <v>19.11</v>
      </c>
      <c r="G30" s="12">
        <v>31</v>
      </c>
      <c r="H30" s="8">
        <v>2.61</v>
      </c>
      <c r="I30" s="12">
        <v>0</v>
      </c>
    </row>
    <row r="31" spans="2:9" ht="15" customHeight="1" x14ac:dyDescent="0.15">
      <c r="B31" t="s">
        <v>86</v>
      </c>
      <c r="C31" s="12">
        <v>289</v>
      </c>
      <c r="D31" s="8">
        <v>9.75</v>
      </c>
      <c r="E31" s="12">
        <v>140</v>
      </c>
      <c r="F31" s="8">
        <v>7.91</v>
      </c>
      <c r="G31" s="12">
        <v>147</v>
      </c>
      <c r="H31" s="8">
        <v>12.35</v>
      </c>
      <c r="I31" s="12">
        <v>2</v>
      </c>
    </row>
    <row r="32" spans="2:9" ht="15" customHeight="1" x14ac:dyDescent="0.15">
      <c r="B32" t="s">
        <v>92</v>
      </c>
      <c r="C32" s="12">
        <v>199</v>
      </c>
      <c r="D32" s="8">
        <v>6.71</v>
      </c>
      <c r="E32" s="12">
        <v>153</v>
      </c>
      <c r="F32" s="8">
        <v>8.65</v>
      </c>
      <c r="G32" s="12">
        <v>44</v>
      </c>
      <c r="H32" s="8">
        <v>3.7</v>
      </c>
      <c r="I32" s="12">
        <v>2</v>
      </c>
    </row>
    <row r="33" spans="2:9" ht="15" customHeight="1" x14ac:dyDescent="0.15">
      <c r="B33" t="s">
        <v>84</v>
      </c>
      <c r="C33" s="12">
        <v>188</v>
      </c>
      <c r="D33" s="8">
        <v>6.34</v>
      </c>
      <c r="E33" s="12">
        <v>104</v>
      </c>
      <c r="F33" s="8">
        <v>5.88</v>
      </c>
      <c r="G33" s="12">
        <v>84</v>
      </c>
      <c r="H33" s="8">
        <v>7.06</v>
      </c>
      <c r="I33" s="12">
        <v>0</v>
      </c>
    </row>
    <row r="34" spans="2:9" ht="15" customHeight="1" x14ac:dyDescent="0.15">
      <c r="B34" t="s">
        <v>82</v>
      </c>
      <c r="C34" s="12">
        <v>176</v>
      </c>
      <c r="D34" s="8">
        <v>5.94</v>
      </c>
      <c r="E34" s="12">
        <v>124</v>
      </c>
      <c r="F34" s="8">
        <v>7.01</v>
      </c>
      <c r="G34" s="12">
        <v>52</v>
      </c>
      <c r="H34" s="8">
        <v>4.37</v>
      </c>
      <c r="I34" s="12">
        <v>0</v>
      </c>
    </row>
    <row r="35" spans="2:9" ht="15" customHeight="1" x14ac:dyDescent="0.15">
      <c r="B35" t="s">
        <v>74</v>
      </c>
      <c r="C35" s="12">
        <v>145</v>
      </c>
      <c r="D35" s="8">
        <v>4.8899999999999997</v>
      </c>
      <c r="E35" s="12">
        <v>27</v>
      </c>
      <c r="F35" s="8">
        <v>1.53</v>
      </c>
      <c r="G35" s="12">
        <v>118</v>
      </c>
      <c r="H35" s="8">
        <v>9.92</v>
      </c>
      <c r="I35" s="12">
        <v>0</v>
      </c>
    </row>
    <row r="36" spans="2:9" ht="15" customHeight="1" x14ac:dyDescent="0.15">
      <c r="B36" t="s">
        <v>93</v>
      </c>
      <c r="C36" s="12">
        <v>134</v>
      </c>
      <c r="D36" s="8">
        <v>4.5199999999999996</v>
      </c>
      <c r="E36" s="12">
        <v>118</v>
      </c>
      <c r="F36" s="8">
        <v>6.67</v>
      </c>
      <c r="G36" s="12">
        <v>16</v>
      </c>
      <c r="H36" s="8">
        <v>1.34</v>
      </c>
      <c r="I36" s="12">
        <v>0</v>
      </c>
    </row>
    <row r="37" spans="2:9" ht="15" customHeight="1" x14ac:dyDescent="0.15">
      <c r="B37" t="s">
        <v>81</v>
      </c>
      <c r="C37" s="12">
        <v>127</v>
      </c>
      <c r="D37" s="8">
        <v>4.28</v>
      </c>
      <c r="E37" s="12">
        <v>61</v>
      </c>
      <c r="F37" s="8">
        <v>3.45</v>
      </c>
      <c r="G37" s="12">
        <v>66</v>
      </c>
      <c r="H37" s="8">
        <v>5.55</v>
      </c>
      <c r="I37" s="12">
        <v>0</v>
      </c>
    </row>
    <row r="38" spans="2:9" ht="15" customHeight="1" x14ac:dyDescent="0.15">
      <c r="B38" t="s">
        <v>83</v>
      </c>
      <c r="C38" s="12">
        <v>91</v>
      </c>
      <c r="D38" s="8">
        <v>3.07</v>
      </c>
      <c r="E38" s="12">
        <v>51</v>
      </c>
      <c r="F38" s="8">
        <v>2.88</v>
      </c>
      <c r="G38" s="12">
        <v>40</v>
      </c>
      <c r="H38" s="8">
        <v>3.36</v>
      </c>
      <c r="I38" s="12">
        <v>0</v>
      </c>
    </row>
    <row r="39" spans="2:9" ht="15" customHeight="1" x14ac:dyDescent="0.15">
      <c r="B39" t="s">
        <v>76</v>
      </c>
      <c r="C39" s="12">
        <v>76</v>
      </c>
      <c r="D39" s="8">
        <v>2.56</v>
      </c>
      <c r="E39" s="12">
        <v>21</v>
      </c>
      <c r="F39" s="8">
        <v>1.19</v>
      </c>
      <c r="G39" s="12">
        <v>55</v>
      </c>
      <c r="H39" s="8">
        <v>4.62</v>
      </c>
      <c r="I39" s="12">
        <v>0</v>
      </c>
    </row>
    <row r="40" spans="2:9" ht="15" customHeight="1" x14ac:dyDescent="0.15">
      <c r="B40" t="s">
        <v>87</v>
      </c>
      <c r="C40" s="12">
        <v>75</v>
      </c>
      <c r="D40" s="8">
        <v>2.5299999999999998</v>
      </c>
      <c r="E40" s="12">
        <v>55</v>
      </c>
      <c r="F40" s="8">
        <v>3.11</v>
      </c>
      <c r="G40" s="12">
        <v>20</v>
      </c>
      <c r="H40" s="8">
        <v>1.68</v>
      </c>
      <c r="I40" s="12">
        <v>0</v>
      </c>
    </row>
    <row r="41" spans="2:9" ht="15" customHeight="1" x14ac:dyDescent="0.15">
      <c r="B41" t="s">
        <v>85</v>
      </c>
      <c r="C41" s="12">
        <v>69</v>
      </c>
      <c r="D41" s="8">
        <v>2.33</v>
      </c>
      <c r="E41" s="12">
        <v>13</v>
      </c>
      <c r="F41" s="8">
        <v>0.73</v>
      </c>
      <c r="G41" s="12">
        <v>56</v>
      </c>
      <c r="H41" s="8">
        <v>4.71</v>
      </c>
      <c r="I41" s="12">
        <v>0</v>
      </c>
    </row>
    <row r="42" spans="2:9" ht="15" customHeight="1" x14ac:dyDescent="0.15">
      <c r="B42" t="s">
        <v>75</v>
      </c>
      <c r="C42" s="12">
        <v>67</v>
      </c>
      <c r="D42" s="8">
        <v>2.2599999999999998</v>
      </c>
      <c r="E42" s="12">
        <v>24</v>
      </c>
      <c r="F42" s="8">
        <v>1.36</v>
      </c>
      <c r="G42" s="12">
        <v>43</v>
      </c>
      <c r="H42" s="8">
        <v>3.61</v>
      </c>
      <c r="I42" s="12">
        <v>0</v>
      </c>
    </row>
    <row r="43" spans="2:9" ht="15" customHeight="1" x14ac:dyDescent="0.15">
      <c r="B43" t="s">
        <v>88</v>
      </c>
      <c r="C43" s="12">
        <v>62</v>
      </c>
      <c r="D43" s="8">
        <v>2.09</v>
      </c>
      <c r="E43" s="12">
        <v>27</v>
      </c>
      <c r="F43" s="8">
        <v>1.53</v>
      </c>
      <c r="G43" s="12">
        <v>35</v>
      </c>
      <c r="H43" s="8">
        <v>2.94</v>
      </c>
      <c r="I43" s="12">
        <v>0</v>
      </c>
    </row>
    <row r="44" spans="2:9" ht="15" customHeight="1" x14ac:dyDescent="0.15">
      <c r="B44" t="s">
        <v>94</v>
      </c>
      <c r="C44" s="12">
        <v>55</v>
      </c>
      <c r="D44" s="8">
        <v>1.85</v>
      </c>
      <c r="E44" s="12">
        <v>1</v>
      </c>
      <c r="F44" s="8">
        <v>0.06</v>
      </c>
      <c r="G44" s="12">
        <v>54</v>
      </c>
      <c r="H44" s="8">
        <v>4.54</v>
      </c>
      <c r="I44" s="12">
        <v>0</v>
      </c>
    </row>
    <row r="45" spans="2:9" ht="15" customHeight="1" x14ac:dyDescent="0.15">
      <c r="B45" t="s">
        <v>91</v>
      </c>
      <c r="C45" s="12">
        <v>45</v>
      </c>
      <c r="D45" s="8">
        <v>1.52</v>
      </c>
      <c r="E45" s="12">
        <v>21</v>
      </c>
      <c r="F45" s="8">
        <v>1.19</v>
      </c>
      <c r="G45" s="12">
        <v>24</v>
      </c>
      <c r="H45" s="8">
        <v>2.02</v>
      </c>
      <c r="I45" s="12">
        <v>0</v>
      </c>
    </row>
    <row r="46" spans="2:9" ht="15" customHeight="1" x14ac:dyDescent="0.15">
      <c r="B46" t="s">
        <v>78</v>
      </c>
      <c r="C46" s="12">
        <v>29</v>
      </c>
      <c r="D46" s="8">
        <v>0.98</v>
      </c>
      <c r="E46" s="12">
        <v>7</v>
      </c>
      <c r="F46" s="8">
        <v>0.4</v>
      </c>
      <c r="G46" s="12">
        <v>22</v>
      </c>
      <c r="H46" s="8">
        <v>1.85</v>
      </c>
      <c r="I46" s="12">
        <v>0</v>
      </c>
    </row>
    <row r="47" spans="2:9" ht="15" customHeight="1" x14ac:dyDescent="0.15">
      <c r="B47" t="s">
        <v>103</v>
      </c>
      <c r="C47" s="12">
        <v>28</v>
      </c>
      <c r="D47" s="8">
        <v>0.94</v>
      </c>
      <c r="E47" s="12">
        <v>12</v>
      </c>
      <c r="F47" s="8">
        <v>0.68</v>
      </c>
      <c r="G47" s="12">
        <v>16</v>
      </c>
      <c r="H47" s="8">
        <v>1.34</v>
      </c>
      <c r="I47" s="12">
        <v>0</v>
      </c>
    </row>
    <row r="48" spans="2:9" ht="15" customHeight="1" x14ac:dyDescent="0.15">
      <c r="B48" t="s">
        <v>97</v>
      </c>
      <c r="C48" s="12">
        <v>28</v>
      </c>
      <c r="D48" s="8">
        <v>0.94</v>
      </c>
      <c r="E48" s="12">
        <v>4</v>
      </c>
      <c r="F48" s="8">
        <v>0.23</v>
      </c>
      <c r="G48" s="12">
        <v>24</v>
      </c>
      <c r="H48" s="8">
        <v>2.02</v>
      </c>
      <c r="I48" s="12">
        <v>0</v>
      </c>
    </row>
    <row r="51" spans="2:9" ht="33" customHeight="1" x14ac:dyDescent="0.15">
      <c r="B51" t="s">
        <v>254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141</v>
      </c>
      <c r="C52" s="12">
        <v>184</v>
      </c>
      <c r="D52" s="8">
        <v>6.21</v>
      </c>
      <c r="E52" s="12">
        <v>170</v>
      </c>
      <c r="F52" s="8">
        <v>9.61</v>
      </c>
      <c r="G52" s="12">
        <v>14</v>
      </c>
      <c r="H52" s="8">
        <v>1.18</v>
      </c>
      <c r="I52" s="12">
        <v>0</v>
      </c>
    </row>
    <row r="53" spans="2:9" ht="15" customHeight="1" x14ac:dyDescent="0.15">
      <c r="B53" t="s">
        <v>143</v>
      </c>
      <c r="C53" s="12">
        <v>139</v>
      </c>
      <c r="D53" s="8">
        <v>4.6900000000000004</v>
      </c>
      <c r="E53" s="12">
        <v>113</v>
      </c>
      <c r="F53" s="8">
        <v>6.39</v>
      </c>
      <c r="G53" s="12">
        <v>24</v>
      </c>
      <c r="H53" s="8">
        <v>2.02</v>
      </c>
      <c r="I53" s="12">
        <v>2</v>
      </c>
    </row>
    <row r="54" spans="2:9" ht="15" customHeight="1" x14ac:dyDescent="0.15">
      <c r="B54" t="s">
        <v>134</v>
      </c>
      <c r="C54" s="12">
        <v>133</v>
      </c>
      <c r="D54" s="8">
        <v>4.49</v>
      </c>
      <c r="E54" s="12">
        <v>73</v>
      </c>
      <c r="F54" s="8">
        <v>4.13</v>
      </c>
      <c r="G54" s="12">
        <v>60</v>
      </c>
      <c r="H54" s="8">
        <v>5.04</v>
      </c>
      <c r="I54" s="12">
        <v>0</v>
      </c>
    </row>
    <row r="55" spans="2:9" ht="15" customHeight="1" x14ac:dyDescent="0.15">
      <c r="B55" t="s">
        <v>140</v>
      </c>
      <c r="C55" s="12">
        <v>112</v>
      </c>
      <c r="D55" s="8">
        <v>3.78</v>
      </c>
      <c r="E55" s="12">
        <v>102</v>
      </c>
      <c r="F55" s="8">
        <v>5.77</v>
      </c>
      <c r="G55" s="12">
        <v>10</v>
      </c>
      <c r="H55" s="8">
        <v>0.84</v>
      </c>
      <c r="I55" s="12">
        <v>0</v>
      </c>
    </row>
    <row r="56" spans="2:9" ht="15" customHeight="1" x14ac:dyDescent="0.15">
      <c r="B56" t="s">
        <v>138</v>
      </c>
      <c r="C56" s="12">
        <v>105</v>
      </c>
      <c r="D56" s="8">
        <v>3.54</v>
      </c>
      <c r="E56" s="12">
        <v>96</v>
      </c>
      <c r="F56" s="8">
        <v>5.43</v>
      </c>
      <c r="G56" s="12">
        <v>9</v>
      </c>
      <c r="H56" s="8">
        <v>0.76</v>
      </c>
      <c r="I56" s="12">
        <v>0</v>
      </c>
    </row>
    <row r="57" spans="2:9" ht="15" customHeight="1" x14ac:dyDescent="0.15">
      <c r="B57" t="s">
        <v>144</v>
      </c>
      <c r="C57" s="12">
        <v>92</v>
      </c>
      <c r="D57" s="8">
        <v>3.1</v>
      </c>
      <c r="E57" s="12">
        <v>78</v>
      </c>
      <c r="F57" s="8">
        <v>4.41</v>
      </c>
      <c r="G57" s="12">
        <v>14</v>
      </c>
      <c r="H57" s="8">
        <v>1.18</v>
      </c>
      <c r="I57" s="12">
        <v>0</v>
      </c>
    </row>
    <row r="58" spans="2:9" ht="15" customHeight="1" x14ac:dyDescent="0.15">
      <c r="B58" t="s">
        <v>148</v>
      </c>
      <c r="C58" s="12">
        <v>75</v>
      </c>
      <c r="D58" s="8">
        <v>2.5299999999999998</v>
      </c>
      <c r="E58" s="12">
        <v>60</v>
      </c>
      <c r="F58" s="8">
        <v>3.39</v>
      </c>
      <c r="G58" s="12">
        <v>15</v>
      </c>
      <c r="H58" s="8">
        <v>1.26</v>
      </c>
      <c r="I58" s="12">
        <v>0</v>
      </c>
    </row>
    <row r="59" spans="2:9" ht="15" customHeight="1" x14ac:dyDescent="0.15">
      <c r="B59" t="s">
        <v>136</v>
      </c>
      <c r="C59" s="12">
        <v>69</v>
      </c>
      <c r="D59" s="8">
        <v>2.33</v>
      </c>
      <c r="E59" s="12">
        <v>66</v>
      </c>
      <c r="F59" s="8">
        <v>3.73</v>
      </c>
      <c r="G59" s="12">
        <v>3</v>
      </c>
      <c r="H59" s="8">
        <v>0.25</v>
      </c>
      <c r="I59" s="12">
        <v>0</v>
      </c>
    </row>
    <row r="60" spans="2:9" ht="15" customHeight="1" x14ac:dyDescent="0.15">
      <c r="B60" t="s">
        <v>129</v>
      </c>
      <c r="C60" s="12">
        <v>66</v>
      </c>
      <c r="D60" s="8">
        <v>2.23</v>
      </c>
      <c r="E60" s="12">
        <v>42</v>
      </c>
      <c r="F60" s="8">
        <v>2.37</v>
      </c>
      <c r="G60" s="12">
        <v>24</v>
      </c>
      <c r="H60" s="8">
        <v>2.02</v>
      </c>
      <c r="I60" s="12">
        <v>0</v>
      </c>
    </row>
    <row r="61" spans="2:9" ht="15" customHeight="1" x14ac:dyDescent="0.15">
      <c r="B61" t="s">
        <v>132</v>
      </c>
      <c r="C61" s="12">
        <v>66</v>
      </c>
      <c r="D61" s="8">
        <v>2.23</v>
      </c>
      <c r="E61" s="12">
        <v>47</v>
      </c>
      <c r="F61" s="8">
        <v>2.66</v>
      </c>
      <c r="G61" s="12">
        <v>19</v>
      </c>
      <c r="H61" s="8">
        <v>1.6</v>
      </c>
      <c r="I61" s="12">
        <v>0</v>
      </c>
    </row>
    <row r="62" spans="2:9" ht="15" customHeight="1" x14ac:dyDescent="0.15">
      <c r="B62" t="s">
        <v>139</v>
      </c>
      <c r="C62" s="12">
        <v>66</v>
      </c>
      <c r="D62" s="8">
        <v>2.23</v>
      </c>
      <c r="E62" s="12">
        <v>36</v>
      </c>
      <c r="F62" s="8">
        <v>2.04</v>
      </c>
      <c r="G62" s="12">
        <v>30</v>
      </c>
      <c r="H62" s="8">
        <v>2.52</v>
      </c>
      <c r="I62" s="12">
        <v>0</v>
      </c>
    </row>
    <row r="63" spans="2:9" ht="15" customHeight="1" x14ac:dyDescent="0.15">
      <c r="B63" t="s">
        <v>135</v>
      </c>
      <c r="C63" s="12">
        <v>64</v>
      </c>
      <c r="D63" s="8">
        <v>2.16</v>
      </c>
      <c r="E63" s="12">
        <v>56</v>
      </c>
      <c r="F63" s="8">
        <v>3.17</v>
      </c>
      <c r="G63" s="12">
        <v>8</v>
      </c>
      <c r="H63" s="8">
        <v>0.67</v>
      </c>
      <c r="I63" s="12">
        <v>0</v>
      </c>
    </row>
    <row r="64" spans="2:9" ht="15" customHeight="1" x14ac:dyDescent="0.15">
      <c r="B64" t="s">
        <v>128</v>
      </c>
      <c r="C64" s="12">
        <v>61</v>
      </c>
      <c r="D64" s="8">
        <v>2.06</v>
      </c>
      <c r="E64" s="12">
        <v>33</v>
      </c>
      <c r="F64" s="8">
        <v>1.87</v>
      </c>
      <c r="G64" s="12">
        <v>28</v>
      </c>
      <c r="H64" s="8">
        <v>2.35</v>
      </c>
      <c r="I64" s="12">
        <v>0</v>
      </c>
    </row>
    <row r="65" spans="2:9" ht="15" customHeight="1" x14ac:dyDescent="0.15">
      <c r="B65" t="s">
        <v>142</v>
      </c>
      <c r="C65" s="12">
        <v>56</v>
      </c>
      <c r="D65" s="8">
        <v>1.89</v>
      </c>
      <c r="E65" s="12">
        <v>40</v>
      </c>
      <c r="F65" s="8">
        <v>2.2599999999999998</v>
      </c>
      <c r="G65" s="12">
        <v>16</v>
      </c>
      <c r="H65" s="8">
        <v>1.34</v>
      </c>
      <c r="I65" s="12">
        <v>0</v>
      </c>
    </row>
    <row r="66" spans="2:9" ht="15" customHeight="1" x14ac:dyDescent="0.15">
      <c r="B66" t="s">
        <v>133</v>
      </c>
      <c r="C66" s="12">
        <v>51</v>
      </c>
      <c r="D66" s="8">
        <v>1.72</v>
      </c>
      <c r="E66" s="12">
        <v>12</v>
      </c>
      <c r="F66" s="8">
        <v>0.68</v>
      </c>
      <c r="G66" s="12">
        <v>39</v>
      </c>
      <c r="H66" s="8">
        <v>3.28</v>
      </c>
      <c r="I66" s="12">
        <v>0</v>
      </c>
    </row>
    <row r="67" spans="2:9" ht="15" customHeight="1" x14ac:dyDescent="0.15">
      <c r="B67" t="s">
        <v>137</v>
      </c>
      <c r="C67" s="12">
        <v>51</v>
      </c>
      <c r="D67" s="8">
        <v>1.72</v>
      </c>
      <c r="E67" s="12">
        <v>49</v>
      </c>
      <c r="F67" s="8">
        <v>2.77</v>
      </c>
      <c r="G67" s="12">
        <v>2</v>
      </c>
      <c r="H67" s="8">
        <v>0.17</v>
      </c>
      <c r="I67" s="12">
        <v>0</v>
      </c>
    </row>
    <row r="68" spans="2:9" ht="15" customHeight="1" x14ac:dyDescent="0.15">
      <c r="B68" t="s">
        <v>130</v>
      </c>
      <c r="C68" s="12">
        <v>46</v>
      </c>
      <c r="D68" s="8">
        <v>1.55</v>
      </c>
      <c r="E68" s="12">
        <v>31</v>
      </c>
      <c r="F68" s="8">
        <v>1.75</v>
      </c>
      <c r="G68" s="12">
        <v>15</v>
      </c>
      <c r="H68" s="8">
        <v>1.26</v>
      </c>
      <c r="I68" s="12">
        <v>0</v>
      </c>
    </row>
    <row r="69" spans="2:9" ht="15" customHeight="1" x14ac:dyDescent="0.15">
      <c r="B69" t="s">
        <v>146</v>
      </c>
      <c r="C69" s="12">
        <v>45</v>
      </c>
      <c r="D69" s="8">
        <v>1.52</v>
      </c>
      <c r="E69" s="12">
        <v>33</v>
      </c>
      <c r="F69" s="8">
        <v>1.87</v>
      </c>
      <c r="G69" s="12">
        <v>12</v>
      </c>
      <c r="H69" s="8">
        <v>1.01</v>
      </c>
      <c r="I69" s="12">
        <v>0</v>
      </c>
    </row>
    <row r="70" spans="2:9" ht="15" customHeight="1" x14ac:dyDescent="0.15">
      <c r="B70" t="s">
        <v>151</v>
      </c>
      <c r="C70" s="12">
        <v>45</v>
      </c>
      <c r="D70" s="8">
        <v>1.52</v>
      </c>
      <c r="E70" s="12">
        <v>42</v>
      </c>
      <c r="F70" s="8">
        <v>2.37</v>
      </c>
      <c r="G70" s="12">
        <v>3</v>
      </c>
      <c r="H70" s="8">
        <v>0.25</v>
      </c>
      <c r="I70" s="12">
        <v>0</v>
      </c>
    </row>
    <row r="71" spans="2:9" ht="15" customHeight="1" x14ac:dyDescent="0.15">
      <c r="B71" t="s">
        <v>149</v>
      </c>
      <c r="C71" s="12">
        <v>43</v>
      </c>
      <c r="D71" s="8">
        <v>1.45</v>
      </c>
      <c r="E71" s="12">
        <v>2</v>
      </c>
      <c r="F71" s="8">
        <v>0.11</v>
      </c>
      <c r="G71" s="12">
        <v>39</v>
      </c>
      <c r="H71" s="8">
        <v>3.28</v>
      </c>
      <c r="I71" s="12">
        <v>2</v>
      </c>
    </row>
    <row r="73" spans="2:9" ht="15" customHeight="1" x14ac:dyDescent="0.15">
      <c r="B73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255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344</v>
      </c>
      <c r="D6" s="8">
        <v>12.74</v>
      </c>
      <c r="E6" s="12">
        <v>98</v>
      </c>
      <c r="F6" s="8">
        <v>6.97</v>
      </c>
      <c r="G6" s="12">
        <v>246</v>
      </c>
      <c r="H6" s="8">
        <v>19.05</v>
      </c>
      <c r="I6" s="12">
        <v>0</v>
      </c>
    </row>
    <row r="7" spans="2:9" ht="15" customHeight="1" x14ac:dyDescent="0.15">
      <c r="B7" t="s">
        <v>53</v>
      </c>
      <c r="C7" s="12">
        <v>119</v>
      </c>
      <c r="D7" s="8">
        <v>4.41</v>
      </c>
      <c r="E7" s="12">
        <v>45</v>
      </c>
      <c r="F7" s="8">
        <v>3.2</v>
      </c>
      <c r="G7" s="12">
        <v>74</v>
      </c>
      <c r="H7" s="8">
        <v>5.73</v>
      </c>
      <c r="I7" s="12">
        <v>0</v>
      </c>
    </row>
    <row r="8" spans="2:9" ht="15" customHeight="1" x14ac:dyDescent="0.15">
      <c r="B8" t="s">
        <v>54</v>
      </c>
      <c r="C8" s="12">
        <v>1</v>
      </c>
      <c r="D8" s="8">
        <v>0.04</v>
      </c>
      <c r="E8" s="12">
        <v>0</v>
      </c>
      <c r="F8" s="8">
        <v>0</v>
      </c>
      <c r="G8" s="12">
        <v>1</v>
      </c>
      <c r="H8" s="8">
        <v>0.08</v>
      </c>
      <c r="I8" s="12">
        <v>0</v>
      </c>
    </row>
    <row r="9" spans="2:9" ht="15" customHeight="1" x14ac:dyDescent="0.15">
      <c r="B9" t="s">
        <v>55</v>
      </c>
      <c r="C9" s="12">
        <v>27</v>
      </c>
      <c r="D9" s="8">
        <v>1</v>
      </c>
      <c r="E9" s="12">
        <v>2</v>
      </c>
      <c r="F9" s="8">
        <v>0.14000000000000001</v>
      </c>
      <c r="G9" s="12">
        <v>25</v>
      </c>
      <c r="H9" s="8">
        <v>1.94</v>
      </c>
      <c r="I9" s="12">
        <v>0</v>
      </c>
    </row>
    <row r="10" spans="2:9" ht="15" customHeight="1" x14ac:dyDescent="0.15">
      <c r="B10" t="s">
        <v>56</v>
      </c>
      <c r="C10" s="12">
        <v>56</v>
      </c>
      <c r="D10" s="8">
        <v>2.0699999999999998</v>
      </c>
      <c r="E10" s="12">
        <v>42</v>
      </c>
      <c r="F10" s="8">
        <v>2.99</v>
      </c>
      <c r="G10" s="12">
        <v>14</v>
      </c>
      <c r="H10" s="8">
        <v>1.08</v>
      </c>
      <c r="I10" s="12">
        <v>0</v>
      </c>
    </row>
    <row r="11" spans="2:9" ht="15" customHeight="1" x14ac:dyDescent="0.15">
      <c r="B11" t="s">
        <v>57</v>
      </c>
      <c r="C11" s="12">
        <v>671</v>
      </c>
      <c r="D11" s="8">
        <v>24.84</v>
      </c>
      <c r="E11" s="12">
        <v>273</v>
      </c>
      <c r="F11" s="8">
        <v>19.420000000000002</v>
      </c>
      <c r="G11" s="12">
        <v>398</v>
      </c>
      <c r="H11" s="8">
        <v>30.83</v>
      </c>
      <c r="I11" s="12">
        <v>0</v>
      </c>
    </row>
    <row r="12" spans="2:9" ht="15" customHeight="1" x14ac:dyDescent="0.15">
      <c r="B12" t="s">
        <v>58</v>
      </c>
      <c r="C12" s="12">
        <v>18</v>
      </c>
      <c r="D12" s="8">
        <v>0.67</v>
      </c>
      <c r="E12" s="12">
        <v>3</v>
      </c>
      <c r="F12" s="8">
        <v>0.21</v>
      </c>
      <c r="G12" s="12">
        <v>15</v>
      </c>
      <c r="H12" s="8">
        <v>1.1599999999999999</v>
      </c>
      <c r="I12" s="12">
        <v>0</v>
      </c>
    </row>
    <row r="13" spans="2:9" ht="15" customHeight="1" x14ac:dyDescent="0.15">
      <c r="B13" t="s">
        <v>59</v>
      </c>
      <c r="C13" s="12">
        <v>239</v>
      </c>
      <c r="D13" s="8">
        <v>8.85</v>
      </c>
      <c r="E13" s="12">
        <v>73</v>
      </c>
      <c r="F13" s="8">
        <v>5.19</v>
      </c>
      <c r="G13" s="12">
        <v>166</v>
      </c>
      <c r="H13" s="8">
        <v>12.86</v>
      </c>
      <c r="I13" s="12">
        <v>0</v>
      </c>
    </row>
    <row r="14" spans="2:9" ht="15" customHeight="1" x14ac:dyDescent="0.15">
      <c r="B14" t="s">
        <v>60</v>
      </c>
      <c r="C14" s="12">
        <v>102</v>
      </c>
      <c r="D14" s="8">
        <v>3.78</v>
      </c>
      <c r="E14" s="12">
        <v>45</v>
      </c>
      <c r="F14" s="8">
        <v>3.2</v>
      </c>
      <c r="G14" s="12">
        <v>57</v>
      </c>
      <c r="H14" s="8">
        <v>4.42</v>
      </c>
      <c r="I14" s="12">
        <v>0</v>
      </c>
    </row>
    <row r="15" spans="2:9" ht="15" customHeight="1" x14ac:dyDescent="0.15">
      <c r="B15" t="s">
        <v>61</v>
      </c>
      <c r="C15" s="12">
        <v>325</v>
      </c>
      <c r="D15" s="8">
        <v>12.03</v>
      </c>
      <c r="E15" s="12">
        <v>263</v>
      </c>
      <c r="F15" s="8">
        <v>18.71</v>
      </c>
      <c r="G15" s="12">
        <v>62</v>
      </c>
      <c r="H15" s="8">
        <v>4.8</v>
      </c>
      <c r="I15" s="12">
        <v>0</v>
      </c>
    </row>
    <row r="16" spans="2:9" ht="15" customHeight="1" x14ac:dyDescent="0.15">
      <c r="B16" t="s">
        <v>62</v>
      </c>
      <c r="C16" s="12">
        <v>371</v>
      </c>
      <c r="D16" s="8">
        <v>13.74</v>
      </c>
      <c r="E16" s="12">
        <v>263</v>
      </c>
      <c r="F16" s="8">
        <v>18.71</v>
      </c>
      <c r="G16" s="12">
        <v>108</v>
      </c>
      <c r="H16" s="8">
        <v>8.3699999999999992</v>
      </c>
      <c r="I16" s="12">
        <v>0</v>
      </c>
    </row>
    <row r="17" spans="2:9" ht="15" customHeight="1" x14ac:dyDescent="0.15">
      <c r="B17" t="s">
        <v>63</v>
      </c>
      <c r="C17" s="12">
        <v>200</v>
      </c>
      <c r="D17" s="8">
        <v>7.4</v>
      </c>
      <c r="E17" s="12">
        <v>175</v>
      </c>
      <c r="F17" s="8">
        <v>12.45</v>
      </c>
      <c r="G17" s="12">
        <v>24</v>
      </c>
      <c r="H17" s="8">
        <v>1.86</v>
      </c>
      <c r="I17" s="12">
        <v>1</v>
      </c>
    </row>
    <row r="18" spans="2:9" ht="15" customHeight="1" x14ac:dyDescent="0.15">
      <c r="B18" t="s">
        <v>64</v>
      </c>
      <c r="C18" s="12">
        <v>155</v>
      </c>
      <c r="D18" s="8">
        <v>5.74</v>
      </c>
      <c r="E18" s="12">
        <v>94</v>
      </c>
      <c r="F18" s="8">
        <v>6.69</v>
      </c>
      <c r="G18" s="12">
        <v>60</v>
      </c>
      <c r="H18" s="8">
        <v>4.6500000000000004</v>
      </c>
      <c r="I18" s="12">
        <v>1</v>
      </c>
    </row>
    <row r="19" spans="2:9" ht="15" customHeight="1" x14ac:dyDescent="0.15">
      <c r="B19" t="s">
        <v>65</v>
      </c>
      <c r="C19" s="12">
        <v>73</v>
      </c>
      <c r="D19" s="8">
        <v>2.7</v>
      </c>
      <c r="E19" s="12">
        <v>30</v>
      </c>
      <c r="F19" s="8">
        <v>2.13</v>
      </c>
      <c r="G19" s="12">
        <v>41</v>
      </c>
      <c r="H19" s="8">
        <v>3.18</v>
      </c>
      <c r="I19" s="12">
        <v>2</v>
      </c>
    </row>
    <row r="20" spans="2:9" ht="15" customHeight="1" x14ac:dyDescent="0.15">
      <c r="B20" s="9" t="s">
        <v>215</v>
      </c>
      <c r="C20" s="12">
        <f>SUM(LTBL_28109[総数／事業所数])</f>
        <v>2701</v>
      </c>
      <c r="E20" s="12">
        <f>SUBTOTAL(109,LTBL_28109[個人／事業所数])</f>
        <v>1406</v>
      </c>
      <c r="G20" s="12">
        <f>SUBTOTAL(109,LTBL_28109[法人／事業所数])</f>
        <v>1291</v>
      </c>
      <c r="I20" s="12">
        <f>SUBTOTAL(109,LTBL_28109[法人以外の団体／事業所数])</f>
        <v>4</v>
      </c>
    </row>
    <row r="21" spans="2:9" ht="15" customHeight="1" x14ac:dyDescent="0.15">
      <c r="E21" s="11">
        <f>LTBL_28109[[#Totals],[個人／事業所数]]/LTBL_28109[[#Totals],[総数／事業所数]]</f>
        <v>0.52054794520547942</v>
      </c>
      <c r="G21" s="11">
        <f>LTBL_28109[[#Totals],[法人／事業所数]]/LTBL_28109[[#Totals],[総数／事業所数]]</f>
        <v>0.47797112180673823</v>
      </c>
      <c r="I21" s="11">
        <f>LTBL_28109[[#Totals],[法人以外の団体／事業所数]]/LTBL_28109[[#Totals],[総数／事業所数]]</f>
        <v>1.4809329877823029E-3</v>
      </c>
    </row>
    <row r="23" spans="2:9" ht="33" customHeight="1" x14ac:dyDescent="0.15">
      <c r="B23" t="s">
        <v>214</v>
      </c>
      <c r="C23" s="10" t="s">
        <v>67</v>
      </c>
      <c r="D23" s="10" t="s">
        <v>256</v>
      </c>
      <c r="E23" s="10" t="s">
        <v>69</v>
      </c>
      <c r="F23" s="10" t="s">
        <v>247</v>
      </c>
      <c r="G23" s="10" t="s">
        <v>71</v>
      </c>
      <c r="H23" s="10" t="s">
        <v>223</v>
      </c>
      <c r="I23" s="10" t="s">
        <v>73</v>
      </c>
    </row>
    <row r="24" spans="2:9" ht="15" customHeight="1" x14ac:dyDescent="0.15">
      <c r="B24" t="s">
        <v>217</v>
      </c>
      <c r="C24">
        <v>16</v>
      </c>
      <c r="D24" t="s">
        <v>216</v>
      </c>
      <c r="E24">
        <v>0</v>
      </c>
      <c r="F24" t="s">
        <v>218</v>
      </c>
      <c r="G24">
        <v>16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257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90</v>
      </c>
      <c r="C29" s="12">
        <v>303</v>
      </c>
      <c r="D29" s="8">
        <v>11.22</v>
      </c>
      <c r="E29" s="12">
        <v>237</v>
      </c>
      <c r="F29" s="8">
        <v>16.86</v>
      </c>
      <c r="G29" s="12">
        <v>66</v>
      </c>
      <c r="H29" s="8">
        <v>5.1100000000000003</v>
      </c>
      <c r="I29" s="12">
        <v>0</v>
      </c>
    </row>
    <row r="30" spans="2:9" ht="15" customHeight="1" x14ac:dyDescent="0.15">
      <c r="B30" t="s">
        <v>89</v>
      </c>
      <c r="C30" s="12">
        <v>285</v>
      </c>
      <c r="D30" s="8">
        <v>10.55</v>
      </c>
      <c r="E30" s="12">
        <v>250</v>
      </c>
      <c r="F30" s="8">
        <v>17.78</v>
      </c>
      <c r="G30" s="12">
        <v>35</v>
      </c>
      <c r="H30" s="8">
        <v>2.71</v>
      </c>
      <c r="I30" s="12">
        <v>0</v>
      </c>
    </row>
    <row r="31" spans="2:9" ht="15" customHeight="1" x14ac:dyDescent="0.15">
      <c r="B31" t="s">
        <v>92</v>
      </c>
      <c r="C31" s="12">
        <v>200</v>
      </c>
      <c r="D31" s="8">
        <v>7.4</v>
      </c>
      <c r="E31" s="12">
        <v>175</v>
      </c>
      <c r="F31" s="8">
        <v>12.45</v>
      </c>
      <c r="G31" s="12">
        <v>24</v>
      </c>
      <c r="H31" s="8">
        <v>1.86</v>
      </c>
      <c r="I31" s="12">
        <v>1</v>
      </c>
    </row>
    <row r="32" spans="2:9" ht="15" customHeight="1" x14ac:dyDescent="0.15">
      <c r="B32" t="s">
        <v>86</v>
      </c>
      <c r="C32" s="12">
        <v>194</v>
      </c>
      <c r="D32" s="8">
        <v>7.18</v>
      </c>
      <c r="E32" s="12">
        <v>62</v>
      </c>
      <c r="F32" s="8">
        <v>4.41</v>
      </c>
      <c r="G32" s="12">
        <v>132</v>
      </c>
      <c r="H32" s="8">
        <v>10.220000000000001</v>
      </c>
      <c r="I32" s="12">
        <v>0</v>
      </c>
    </row>
    <row r="33" spans="2:9" ht="15" customHeight="1" x14ac:dyDescent="0.15">
      <c r="B33" t="s">
        <v>84</v>
      </c>
      <c r="C33" s="12">
        <v>182</v>
      </c>
      <c r="D33" s="8">
        <v>6.74</v>
      </c>
      <c r="E33" s="12">
        <v>97</v>
      </c>
      <c r="F33" s="8">
        <v>6.9</v>
      </c>
      <c r="G33" s="12">
        <v>85</v>
      </c>
      <c r="H33" s="8">
        <v>6.58</v>
      </c>
      <c r="I33" s="12">
        <v>0</v>
      </c>
    </row>
    <row r="34" spans="2:9" ht="15" customHeight="1" x14ac:dyDescent="0.15">
      <c r="B34" t="s">
        <v>74</v>
      </c>
      <c r="C34" s="12">
        <v>161</v>
      </c>
      <c r="D34" s="8">
        <v>5.96</v>
      </c>
      <c r="E34" s="12">
        <v>40</v>
      </c>
      <c r="F34" s="8">
        <v>2.84</v>
      </c>
      <c r="G34" s="12">
        <v>121</v>
      </c>
      <c r="H34" s="8">
        <v>9.3699999999999992</v>
      </c>
      <c r="I34" s="12">
        <v>0</v>
      </c>
    </row>
    <row r="35" spans="2:9" ht="15" customHeight="1" x14ac:dyDescent="0.15">
      <c r="B35" t="s">
        <v>82</v>
      </c>
      <c r="C35" s="12">
        <v>137</v>
      </c>
      <c r="D35" s="8">
        <v>5.07</v>
      </c>
      <c r="E35" s="12">
        <v>78</v>
      </c>
      <c r="F35" s="8">
        <v>5.55</v>
      </c>
      <c r="G35" s="12">
        <v>59</v>
      </c>
      <c r="H35" s="8">
        <v>4.57</v>
      </c>
      <c r="I35" s="12">
        <v>0</v>
      </c>
    </row>
    <row r="36" spans="2:9" ht="15" customHeight="1" x14ac:dyDescent="0.15">
      <c r="B36" t="s">
        <v>93</v>
      </c>
      <c r="C36" s="12">
        <v>103</v>
      </c>
      <c r="D36" s="8">
        <v>3.81</v>
      </c>
      <c r="E36" s="12">
        <v>93</v>
      </c>
      <c r="F36" s="8">
        <v>6.61</v>
      </c>
      <c r="G36" s="12">
        <v>10</v>
      </c>
      <c r="H36" s="8">
        <v>0.77</v>
      </c>
      <c r="I36" s="12">
        <v>0</v>
      </c>
    </row>
    <row r="37" spans="2:9" ht="15" customHeight="1" x14ac:dyDescent="0.15">
      <c r="B37" t="s">
        <v>81</v>
      </c>
      <c r="C37" s="12">
        <v>100</v>
      </c>
      <c r="D37" s="8">
        <v>3.7</v>
      </c>
      <c r="E37" s="12">
        <v>26</v>
      </c>
      <c r="F37" s="8">
        <v>1.85</v>
      </c>
      <c r="G37" s="12">
        <v>74</v>
      </c>
      <c r="H37" s="8">
        <v>5.73</v>
      </c>
      <c r="I37" s="12">
        <v>0</v>
      </c>
    </row>
    <row r="38" spans="2:9" ht="15" customHeight="1" x14ac:dyDescent="0.15">
      <c r="B38" t="s">
        <v>75</v>
      </c>
      <c r="C38" s="12">
        <v>94</v>
      </c>
      <c r="D38" s="8">
        <v>3.48</v>
      </c>
      <c r="E38" s="12">
        <v>31</v>
      </c>
      <c r="F38" s="8">
        <v>2.2000000000000002</v>
      </c>
      <c r="G38" s="12">
        <v>63</v>
      </c>
      <c r="H38" s="8">
        <v>4.88</v>
      </c>
      <c r="I38" s="12">
        <v>0</v>
      </c>
    </row>
    <row r="39" spans="2:9" ht="15" customHeight="1" x14ac:dyDescent="0.15">
      <c r="B39" t="s">
        <v>76</v>
      </c>
      <c r="C39" s="12">
        <v>89</v>
      </c>
      <c r="D39" s="8">
        <v>3.3</v>
      </c>
      <c r="E39" s="12">
        <v>27</v>
      </c>
      <c r="F39" s="8">
        <v>1.92</v>
      </c>
      <c r="G39" s="12">
        <v>62</v>
      </c>
      <c r="H39" s="8">
        <v>4.8</v>
      </c>
      <c r="I39" s="12">
        <v>0</v>
      </c>
    </row>
    <row r="40" spans="2:9" ht="15" customHeight="1" x14ac:dyDescent="0.15">
      <c r="B40" t="s">
        <v>83</v>
      </c>
      <c r="C40" s="12">
        <v>80</v>
      </c>
      <c r="D40" s="8">
        <v>2.96</v>
      </c>
      <c r="E40" s="12">
        <v>41</v>
      </c>
      <c r="F40" s="8">
        <v>2.92</v>
      </c>
      <c r="G40" s="12">
        <v>39</v>
      </c>
      <c r="H40" s="8">
        <v>3.02</v>
      </c>
      <c r="I40" s="12">
        <v>0</v>
      </c>
    </row>
    <row r="41" spans="2:9" ht="15" customHeight="1" x14ac:dyDescent="0.15">
      <c r="B41" t="s">
        <v>88</v>
      </c>
      <c r="C41" s="12">
        <v>59</v>
      </c>
      <c r="D41" s="8">
        <v>2.1800000000000002</v>
      </c>
      <c r="E41" s="12">
        <v>23</v>
      </c>
      <c r="F41" s="8">
        <v>1.64</v>
      </c>
      <c r="G41" s="12">
        <v>36</v>
      </c>
      <c r="H41" s="8">
        <v>2.79</v>
      </c>
      <c r="I41" s="12">
        <v>0</v>
      </c>
    </row>
    <row r="42" spans="2:9" ht="15" customHeight="1" x14ac:dyDescent="0.15">
      <c r="B42" t="s">
        <v>94</v>
      </c>
      <c r="C42" s="12">
        <v>52</v>
      </c>
      <c r="D42" s="8">
        <v>1.93</v>
      </c>
      <c r="E42" s="12">
        <v>1</v>
      </c>
      <c r="F42" s="8">
        <v>7.0000000000000007E-2</v>
      </c>
      <c r="G42" s="12">
        <v>50</v>
      </c>
      <c r="H42" s="8">
        <v>3.87</v>
      </c>
      <c r="I42" s="12">
        <v>1</v>
      </c>
    </row>
    <row r="43" spans="2:9" ht="15" customHeight="1" x14ac:dyDescent="0.15">
      <c r="B43" t="s">
        <v>91</v>
      </c>
      <c r="C43" s="12">
        <v>51</v>
      </c>
      <c r="D43" s="8">
        <v>1.89</v>
      </c>
      <c r="E43" s="12">
        <v>18</v>
      </c>
      <c r="F43" s="8">
        <v>1.28</v>
      </c>
      <c r="G43" s="12">
        <v>33</v>
      </c>
      <c r="H43" s="8">
        <v>2.56</v>
      </c>
      <c r="I43" s="12">
        <v>0</v>
      </c>
    </row>
    <row r="44" spans="2:9" ht="15" customHeight="1" x14ac:dyDescent="0.15">
      <c r="B44" t="s">
        <v>80</v>
      </c>
      <c r="C44" s="12">
        <v>46</v>
      </c>
      <c r="D44" s="8">
        <v>1.7</v>
      </c>
      <c r="E44" s="12">
        <v>7</v>
      </c>
      <c r="F44" s="8">
        <v>0.5</v>
      </c>
      <c r="G44" s="12">
        <v>39</v>
      </c>
      <c r="H44" s="8">
        <v>3.02</v>
      </c>
      <c r="I44" s="12">
        <v>0</v>
      </c>
    </row>
    <row r="45" spans="2:9" ht="15" customHeight="1" x14ac:dyDescent="0.15">
      <c r="B45" t="s">
        <v>78</v>
      </c>
      <c r="C45" s="12">
        <v>42</v>
      </c>
      <c r="D45" s="8">
        <v>1.55</v>
      </c>
      <c r="E45" s="12">
        <v>8</v>
      </c>
      <c r="F45" s="8">
        <v>0.56999999999999995</v>
      </c>
      <c r="G45" s="12">
        <v>34</v>
      </c>
      <c r="H45" s="8">
        <v>2.63</v>
      </c>
      <c r="I45" s="12">
        <v>0</v>
      </c>
    </row>
    <row r="46" spans="2:9" ht="15" customHeight="1" x14ac:dyDescent="0.15">
      <c r="B46" t="s">
        <v>87</v>
      </c>
      <c r="C46" s="12">
        <v>42</v>
      </c>
      <c r="D46" s="8">
        <v>1.55</v>
      </c>
      <c r="E46" s="12">
        <v>22</v>
      </c>
      <c r="F46" s="8">
        <v>1.56</v>
      </c>
      <c r="G46" s="12">
        <v>20</v>
      </c>
      <c r="H46" s="8">
        <v>1.55</v>
      </c>
      <c r="I46" s="12">
        <v>0</v>
      </c>
    </row>
    <row r="47" spans="2:9" ht="15" customHeight="1" x14ac:dyDescent="0.15">
      <c r="B47" t="s">
        <v>104</v>
      </c>
      <c r="C47" s="12">
        <v>39</v>
      </c>
      <c r="D47" s="8">
        <v>1.44</v>
      </c>
      <c r="E47" s="12">
        <v>38</v>
      </c>
      <c r="F47" s="8">
        <v>2.7</v>
      </c>
      <c r="G47" s="12">
        <v>1</v>
      </c>
      <c r="H47" s="8">
        <v>0.08</v>
      </c>
      <c r="I47" s="12">
        <v>0</v>
      </c>
    </row>
    <row r="48" spans="2:9" ht="15" customHeight="1" x14ac:dyDescent="0.15">
      <c r="B48" t="s">
        <v>85</v>
      </c>
      <c r="C48" s="12">
        <v>35</v>
      </c>
      <c r="D48" s="8">
        <v>1.3</v>
      </c>
      <c r="E48" s="12">
        <v>9</v>
      </c>
      <c r="F48" s="8">
        <v>0.64</v>
      </c>
      <c r="G48" s="12">
        <v>26</v>
      </c>
      <c r="H48" s="8">
        <v>2.0099999999999998</v>
      </c>
      <c r="I48" s="12">
        <v>0</v>
      </c>
    </row>
    <row r="49" spans="2:9" ht="15" customHeight="1" x14ac:dyDescent="0.15">
      <c r="B49" t="s">
        <v>105</v>
      </c>
      <c r="C49" s="12">
        <v>35</v>
      </c>
      <c r="D49" s="8">
        <v>1.3</v>
      </c>
      <c r="E49" s="12">
        <v>13</v>
      </c>
      <c r="F49" s="8">
        <v>0.92</v>
      </c>
      <c r="G49" s="12">
        <v>22</v>
      </c>
      <c r="H49" s="8">
        <v>1.7</v>
      </c>
      <c r="I49" s="12">
        <v>0</v>
      </c>
    </row>
    <row r="52" spans="2:9" ht="33" customHeight="1" x14ac:dyDescent="0.15">
      <c r="B52" t="s">
        <v>225</v>
      </c>
      <c r="C52" s="10" t="s">
        <v>67</v>
      </c>
      <c r="D52" s="10" t="s">
        <v>68</v>
      </c>
      <c r="E52" s="10" t="s">
        <v>69</v>
      </c>
      <c r="F52" s="10" t="s">
        <v>70</v>
      </c>
      <c r="G52" s="10" t="s">
        <v>71</v>
      </c>
      <c r="H52" s="10" t="s">
        <v>72</v>
      </c>
      <c r="I52" s="10" t="s">
        <v>73</v>
      </c>
    </row>
    <row r="53" spans="2:9" ht="15" customHeight="1" x14ac:dyDescent="0.15">
      <c r="B53" t="s">
        <v>141</v>
      </c>
      <c r="C53" s="12">
        <v>157</v>
      </c>
      <c r="D53" s="8">
        <v>5.81</v>
      </c>
      <c r="E53" s="12">
        <v>137</v>
      </c>
      <c r="F53" s="8">
        <v>9.74</v>
      </c>
      <c r="G53" s="12">
        <v>20</v>
      </c>
      <c r="H53" s="8">
        <v>1.55</v>
      </c>
      <c r="I53" s="12">
        <v>0</v>
      </c>
    </row>
    <row r="54" spans="2:9" ht="15" customHeight="1" x14ac:dyDescent="0.15">
      <c r="B54" t="s">
        <v>143</v>
      </c>
      <c r="C54" s="12">
        <v>131</v>
      </c>
      <c r="D54" s="8">
        <v>4.8499999999999996</v>
      </c>
      <c r="E54" s="12">
        <v>119</v>
      </c>
      <c r="F54" s="8">
        <v>8.4600000000000009</v>
      </c>
      <c r="G54" s="12">
        <v>11</v>
      </c>
      <c r="H54" s="8">
        <v>0.85</v>
      </c>
      <c r="I54" s="12">
        <v>1</v>
      </c>
    </row>
    <row r="55" spans="2:9" ht="15" customHeight="1" x14ac:dyDescent="0.15">
      <c r="B55" t="s">
        <v>134</v>
      </c>
      <c r="C55" s="12">
        <v>90</v>
      </c>
      <c r="D55" s="8">
        <v>3.33</v>
      </c>
      <c r="E55" s="12">
        <v>32</v>
      </c>
      <c r="F55" s="8">
        <v>2.2799999999999998</v>
      </c>
      <c r="G55" s="12">
        <v>58</v>
      </c>
      <c r="H55" s="8">
        <v>4.49</v>
      </c>
      <c r="I55" s="12">
        <v>0</v>
      </c>
    </row>
    <row r="56" spans="2:9" ht="15" customHeight="1" x14ac:dyDescent="0.15">
      <c r="B56" t="s">
        <v>138</v>
      </c>
      <c r="C56" s="12">
        <v>83</v>
      </c>
      <c r="D56" s="8">
        <v>3.07</v>
      </c>
      <c r="E56" s="12">
        <v>75</v>
      </c>
      <c r="F56" s="8">
        <v>5.33</v>
      </c>
      <c r="G56" s="12">
        <v>8</v>
      </c>
      <c r="H56" s="8">
        <v>0.62</v>
      </c>
      <c r="I56" s="12">
        <v>0</v>
      </c>
    </row>
    <row r="57" spans="2:9" ht="15" customHeight="1" x14ac:dyDescent="0.15">
      <c r="B57" t="s">
        <v>144</v>
      </c>
      <c r="C57" s="12">
        <v>77</v>
      </c>
      <c r="D57" s="8">
        <v>2.85</v>
      </c>
      <c r="E57" s="12">
        <v>70</v>
      </c>
      <c r="F57" s="8">
        <v>4.9800000000000004</v>
      </c>
      <c r="G57" s="12">
        <v>7</v>
      </c>
      <c r="H57" s="8">
        <v>0.54</v>
      </c>
      <c r="I57" s="12">
        <v>0</v>
      </c>
    </row>
    <row r="58" spans="2:9" ht="15" customHeight="1" x14ac:dyDescent="0.15">
      <c r="B58" t="s">
        <v>140</v>
      </c>
      <c r="C58" s="12">
        <v>76</v>
      </c>
      <c r="D58" s="8">
        <v>2.81</v>
      </c>
      <c r="E58" s="12">
        <v>70</v>
      </c>
      <c r="F58" s="8">
        <v>4.9800000000000004</v>
      </c>
      <c r="G58" s="12">
        <v>6</v>
      </c>
      <c r="H58" s="8">
        <v>0.46</v>
      </c>
      <c r="I58" s="12">
        <v>0</v>
      </c>
    </row>
    <row r="59" spans="2:9" ht="15" customHeight="1" x14ac:dyDescent="0.15">
      <c r="B59" t="s">
        <v>132</v>
      </c>
      <c r="C59" s="12">
        <v>67</v>
      </c>
      <c r="D59" s="8">
        <v>2.48</v>
      </c>
      <c r="E59" s="12">
        <v>47</v>
      </c>
      <c r="F59" s="8">
        <v>3.34</v>
      </c>
      <c r="G59" s="12">
        <v>20</v>
      </c>
      <c r="H59" s="8">
        <v>1.55</v>
      </c>
      <c r="I59" s="12">
        <v>0</v>
      </c>
    </row>
    <row r="60" spans="2:9" ht="15" customHeight="1" x14ac:dyDescent="0.15">
      <c r="B60" t="s">
        <v>142</v>
      </c>
      <c r="C60" s="12">
        <v>65</v>
      </c>
      <c r="D60" s="8">
        <v>2.41</v>
      </c>
      <c r="E60" s="12">
        <v>55</v>
      </c>
      <c r="F60" s="8">
        <v>3.91</v>
      </c>
      <c r="G60" s="12">
        <v>10</v>
      </c>
      <c r="H60" s="8">
        <v>0.77</v>
      </c>
      <c r="I60" s="12">
        <v>0</v>
      </c>
    </row>
    <row r="61" spans="2:9" ht="15" customHeight="1" x14ac:dyDescent="0.15">
      <c r="B61" t="s">
        <v>130</v>
      </c>
      <c r="C61" s="12">
        <v>60</v>
      </c>
      <c r="D61" s="8">
        <v>2.2200000000000002</v>
      </c>
      <c r="E61" s="12">
        <v>36</v>
      </c>
      <c r="F61" s="8">
        <v>2.56</v>
      </c>
      <c r="G61" s="12">
        <v>24</v>
      </c>
      <c r="H61" s="8">
        <v>1.86</v>
      </c>
      <c r="I61" s="12">
        <v>0</v>
      </c>
    </row>
    <row r="62" spans="2:9" ht="15" customHeight="1" x14ac:dyDescent="0.15">
      <c r="B62" t="s">
        <v>125</v>
      </c>
      <c r="C62" s="12">
        <v>56</v>
      </c>
      <c r="D62" s="8">
        <v>2.0699999999999998</v>
      </c>
      <c r="E62" s="12">
        <v>20</v>
      </c>
      <c r="F62" s="8">
        <v>1.42</v>
      </c>
      <c r="G62" s="12">
        <v>36</v>
      </c>
      <c r="H62" s="8">
        <v>2.79</v>
      </c>
      <c r="I62" s="12">
        <v>0</v>
      </c>
    </row>
    <row r="63" spans="2:9" ht="15" customHeight="1" x14ac:dyDescent="0.15">
      <c r="B63" t="s">
        <v>135</v>
      </c>
      <c r="C63" s="12">
        <v>52</v>
      </c>
      <c r="D63" s="8">
        <v>1.93</v>
      </c>
      <c r="E63" s="12">
        <v>42</v>
      </c>
      <c r="F63" s="8">
        <v>2.99</v>
      </c>
      <c r="G63" s="12">
        <v>10</v>
      </c>
      <c r="H63" s="8">
        <v>0.77</v>
      </c>
      <c r="I63" s="12">
        <v>0</v>
      </c>
    </row>
    <row r="64" spans="2:9" ht="15" customHeight="1" x14ac:dyDescent="0.15">
      <c r="B64" t="s">
        <v>146</v>
      </c>
      <c r="C64" s="12">
        <v>51</v>
      </c>
      <c r="D64" s="8">
        <v>1.89</v>
      </c>
      <c r="E64" s="12">
        <v>24</v>
      </c>
      <c r="F64" s="8">
        <v>1.71</v>
      </c>
      <c r="G64" s="12">
        <v>27</v>
      </c>
      <c r="H64" s="8">
        <v>2.09</v>
      </c>
      <c r="I64" s="12">
        <v>0</v>
      </c>
    </row>
    <row r="65" spans="2:9" ht="15" customHeight="1" x14ac:dyDescent="0.15">
      <c r="B65" t="s">
        <v>160</v>
      </c>
      <c r="C65" s="12">
        <v>46</v>
      </c>
      <c r="D65" s="8">
        <v>1.7</v>
      </c>
      <c r="E65" s="12">
        <v>11</v>
      </c>
      <c r="F65" s="8">
        <v>0.78</v>
      </c>
      <c r="G65" s="12">
        <v>35</v>
      </c>
      <c r="H65" s="8">
        <v>2.71</v>
      </c>
      <c r="I65" s="12">
        <v>0</v>
      </c>
    </row>
    <row r="66" spans="2:9" ht="15" customHeight="1" x14ac:dyDescent="0.15">
      <c r="B66" t="s">
        <v>136</v>
      </c>
      <c r="C66" s="12">
        <v>46</v>
      </c>
      <c r="D66" s="8">
        <v>1.7</v>
      </c>
      <c r="E66" s="12">
        <v>39</v>
      </c>
      <c r="F66" s="8">
        <v>2.77</v>
      </c>
      <c r="G66" s="12">
        <v>7</v>
      </c>
      <c r="H66" s="8">
        <v>0.54</v>
      </c>
      <c r="I66" s="12">
        <v>0</v>
      </c>
    </row>
    <row r="67" spans="2:9" ht="15" customHeight="1" x14ac:dyDescent="0.15">
      <c r="B67" t="s">
        <v>139</v>
      </c>
      <c r="C67" s="12">
        <v>46</v>
      </c>
      <c r="D67" s="8">
        <v>1.7</v>
      </c>
      <c r="E67" s="12">
        <v>16</v>
      </c>
      <c r="F67" s="8">
        <v>1.1399999999999999</v>
      </c>
      <c r="G67" s="12">
        <v>30</v>
      </c>
      <c r="H67" s="8">
        <v>2.3199999999999998</v>
      </c>
      <c r="I67" s="12">
        <v>0</v>
      </c>
    </row>
    <row r="68" spans="2:9" ht="15" customHeight="1" x14ac:dyDescent="0.15">
      <c r="B68" t="s">
        <v>128</v>
      </c>
      <c r="C68" s="12">
        <v>43</v>
      </c>
      <c r="D68" s="8">
        <v>1.59</v>
      </c>
      <c r="E68" s="12">
        <v>13</v>
      </c>
      <c r="F68" s="8">
        <v>0.92</v>
      </c>
      <c r="G68" s="12">
        <v>30</v>
      </c>
      <c r="H68" s="8">
        <v>2.3199999999999998</v>
      </c>
      <c r="I68" s="12">
        <v>0</v>
      </c>
    </row>
    <row r="69" spans="2:9" ht="15" customHeight="1" x14ac:dyDescent="0.15">
      <c r="B69" t="s">
        <v>126</v>
      </c>
      <c r="C69" s="12">
        <v>42</v>
      </c>
      <c r="D69" s="8">
        <v>1.55</v>
      </c>
      <c r="E69" s="12">
        <v>6</v>
      </c>
      <c r="F69" s="8">
        <v>0.43</v>
      </c>
      <c r="G69" s="12">
        <v>36</v>
      </c>
      <c r="H69" s="8">
        <v>2.79</v>
      </c>
      <c r="I69" s="12">
        <v>0</v>
      </c>
    </row>
    <row r="70" spans="2:9" ht="15" customHeight="1" x14ac:dyDescent="0.15">
      <c r="B70" t="s">
        <v>149</v>
      </c>
      <c r="C70" s="12">
        <v>41</v>
      </c>
      <c r="D70" s="8">
        <v>1.52</v>
      </c>
      <c r="E70" s="12">
        <v>3</v>
      </c>
      <c r="F70" s="8">
        <v>0.21</v>
      </c>
      <c r="G70" s="12">
        <v>38</v>
      </c>
      <c r="H70" s="8">
        <v>2.94</v>
      </c>
      <c r="I70" s="12">
        <v>0</v>
      </c>
    </row>
    <row r="71" spans="2:9" ht="15" customHeight="1" x14ac:dyDescent="0.15">
      <c r="B71" t="s">
        <v>161</v>
      </c>
      <c r="C71" s="12">
        <v>39</v>
      </c>
      <c r="D71" s="8">
        <v>1.44</v>
      </c>
      <c r="E71" s="12">
        <v>38</v>
      </c>
      <c r="F71" s="8">
        <v>2.7</v>
      </c>
      <c r="G71" s="12">
        <v>1</v>
      </c>
      <c r="H71" s="8">
        <v>0.08</v>
      </c>
      <c r="I71" s="12">
        <v>0</v>
      </c>
    </row>
    <row r="72" spans="2:9" ht="15" customHeight="1" x14ac:dyDescent="0.15">
      <c r="B72" t="s">
        <v>137</v>
      </c>
      <c r="C72" s="12">
        <v>35</v>
      </c>
      <c r="D72" s="8">
        <v>1.3</v>
      </c>
      <c r="E72" s="12">
        <v>35</v>
      </c>
      <c r="F72" s="8">
        <v>2.4900000000000002</v>
      </c>
      <c r="G72" s="12">
        <v>0</v>
      </c>
      <c r="H72" s="8">
        <v>0</v>
      </c>
      <c r="I72" s="12">
        <v>0</v>
      </c>
    </row>
    <row r="74" spans="2:9" ht="15" customHeight="1" x14ac:dyDescent="0.15">
      <c r="B74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258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469</v>
      </c>
      <c r="D6" s="8">
        <v>4.2699999999999996</v>
      </c>
      <c r="E6" s="12">
        <v>40</v>
      </c>
      <c r="F6" s="8">
        <v>0.69</v>
      </c>
      <c r="G6" s="12">
        <v>428</v>
      </c>
      <c r="H6" s="8">
        <v>8.27</v>
      </c>
      <c r="I6" s="12">
        <v>1</v>
      </c>
    </row>
    <row r="7" spans="2:9" ht="15" customHeight="1" x14ac:dyDescent="0.15">
      <c r="B7" t="s">
        <v>53</v>
      </c>
      <c r="C7" s="12">
        <v>324</v>
      </c>
      <c r="D7" s="8">
        <v>2.95</v>
      </c>
      <c r="E7" s="12">
        <v>82</v>
      </c>
      <c r="F7" s="8">
        <v>1.42</v>
      </c>
      <c r="G7" s="12">
        <v>241</v>
      </c>
      <c r="H7" s="8">
        <v>4.66</v>
      </c>
      <c r="I7" s="12">
        <v>1</v>
      </c>
    </row>
    <row r="8" spans="2:9" ht="15" customHeight="1" x14ac:dyDescent="0.15">
      <c r="B8" t="s">
        <v>54</v>
      </c>
      <c r="C8" s="12">
        <v>5</v>
      </c>
      <c r="D8" s="8">
        <v>0.05</v>
      </c>
      <c r="E8" s="12">
        <v>0</v>
      </c>
      <c r="F8" s="8">
        <v>0</v>
      </c>
      <c r="G8" s="12">
        <v>5</v>
      </c>
      <c r="H8" s="8">
        <v>0.1</v>
      </c>
      <c r="I8" s="12">
        <v>0</v>
      </c>
    </row>
    <row r="9" spans="2:9" ht="15" customHeight="1" x14ac:dyDescent="0.15">
      <c r="B9" t="s">
        <v>55</v>
      </c>
      <c r="C9" s="12">
        <v>181</v>
      </c>
      <c r="D9" s="8">
        <v>1.65</v>
      </c>
      <c r="E9" s="12">
        <v>16</v>
      </c>
      <c r="F9" s="8">
        <v>0.28000000000000003</v>
      </c>
      <c r="G9" s="12">
        <v>164</v>
      </c>
      <c r="H9" s="8">
        <v>3.17</v>
      </c>
      <c r="I9" s="12">
        <v>1</v>
      </c>
    </row>
    <row r="10" spans="2:9" ht="15" customHeight="1" x14ac:dyDescent="0.15">
      <c r="B10" t="s">
        <v>56</v>
      </c>
      <c r="C10" s="12">
        <v>173</v>
      </c>
      <c r="D10" s="8">
        <v>1.58</v>
      </c>
      <c r="E10" s="12">
        <v>6</v>
      </c>
      <c r="F10" s="8">
        <v>0.1</v>
      </c>
      <c r="G10" s="12">
        <v>167</v>
      </c>
      <c r="H10" s="8">
        <v>3.23</v>
      </c>
      <c r="I10" s="12">
        <v>0</v>
      </c>
    </row>
    <row r="11" spans="2:9" ht="15" customHeight="1" x14ac:dyDescent="0.15">
      <c r="B11" t="s">
        <v>57</v>
      </c>
      <c r="C11" s="12">
        <v>2844</v>
      </c>
      <c r="D11" s="8">
        <v>25.91</v>
      </c>
      <c r="E11" s="12">
        <v>1019</v>
      </c>
      <c r="F11" s="8">
        <v>17.64</v>
      </c>
      <c r="G11" s="12">
        <v>1823</v>
      </c>
      <c r="H11" s="8">
        <v>35.24</v>
      </c>
      <c r="I11" s="12">
        <v>2</v>
      </c>
    </row>
    <row r="12" spans="2:9" ht="15" customHeight="1" x14ac:dyDescent="0.15">
      <c r="B12" t="s">
        <v>58</v>
      </c>
      <c r="C12" s="12">
        <v>70</v>
      </c>
      <c r="D12" s="8">
        <v>0.64</v>
      </c>
      <c r="E12" s="12">
        <v>5</v>
      </c>
      <c r="F12" s="8">
        <v>0.09</v>
      </c>
      <c r="G12" s="12">
        <v>65</v>
      </c>
      <c r="H12" s="8">
        <v>1.26</v>
      </c>
      <c r="I12" s="12">
        <v>0</v>
      </c>
    </row>
    <row r="13" spans="2:9" ht="15" customHeight="1" x14ac:dyDescent="0.15">
      <c r="B13" t="s">
        <v>59</v>
      </c>
      <c r="C13" s="12">
        <v>1069</v>
      </c>
      <c r="D13" s="8">
        <v>9.74</v>
      </c>
      <c r="E13" s="12">
        <v>295</v>
      </c>
      <c r="F13" s="8">
        <v>5.1100000000000003</v>
      </c>
      <c r="G13" s="12">
        <v>769</v>
      </c>
      <c r="H13" s="8">
        <v>14.87</v>
      </c>
      <c r="I13" s="12">
        <v>5</v>
      </c>
    </row>
    <row r="14" spans="2:9" ht="15" customHeight="1" x14ac:dyDescent="0.15">
      <c r="B14" t="s">
        <v>60</v>
      </c>
      <c r="C14" s="12">
        <v>1148</v>
      </c>
      <c r="D14" s="8">
        <v>10.46</v>
      </c>
      <c r="E14" s="12">
        <v>746</v>
      </c>
      <c r="F14" s="8">
        <v>12.91</v>
      </c>
      <c r="G14" s="12">
        <v>398</v>
      </c>
      <c r="H14" s="8">
        <v>7.69</v>
      </c>
      <c r="I14" s="12">
        <v>4</v>
      </c>
    </row>
    <row r="15" spans="2:9" ht="15" customHeight="1" x14ac:dyDescent="0.15">
      <c r="B15" t="s">
        <v>61</v>
      </c>
      <c r="C15" s="12">
        <v>2864</v>
      </c>
      <c r="D15" s="8">
        <v>26.1</v>
      </c>
      <c r="E15" s="12">
        <v>2542</v>
      </c>
      <c r="F15" s="8">
        <v>44</v>
      </c>
      <c r="G15" s="12">
        <v>322</v>
      </c>
      <c r="H15" s="8">
        <v>6.22</v>
      </c>
      <c r="I15" s="12">
        <v>0</v>
      </c>
    </row>
    <row r="16" spans="2:9" ht="15" customHeight="1" x14ac:dyDescent="0.15">
      <c r="B16" t="s">
        <v>62</v>
      </c>
      <c r="C16" s="12">
        <v>874</v>
      </c>
      <c r="D16" s="8">
        <v>7.96</v>
      </c>
      <c r="E16" s="12">
        <v>583</v>
      </c>
      <c r="F16" s="8">
        <v>10.09</v>
      </c>
      <c r="G16" s="12">
        <v>290</v>
      </c>
      <c r="H16" s="8">
        <v>5.61</v>
      </c>
      <c r="I16" s="12">
        <v>1</v>
      </c>
    </row>
    <row r="17" spans="2:9" ht="15" customHeight="1" x14ac:dyDescent="0.15">
      <c r="B17" t="s">
        <v>63</v>
      </c>
      <c r="C17" s="12">
        <v>243</v>
      </c>
      <c r="D17" s="8">
        <v>2.21</v>
      </c>
      <c r="E17" s="12">
        <v>133</v>
      </c>
      <c r="F17" s="8">
        <v>2.2999999999999998</v>
      </c>
      <c r="G17" s="12">
        <v>107</v>
      </c>
      <c r="H17" s="8">
        <v>2.0699999999999998</v>
      </c>
      <c r="I17" s="12">
        <v>3</v>
      </c>
    </row>
    <row r="18" spans="2:9" ht="15" customHeight="1" x14ac:dyDescent="0.15">
      <c r="B18" t="s">
        <v>64</v>
      </c>
      <c r="C18" s="12">
        <v>370</v>
      </c>
      <c r="D18" s="8">
        <v>3.37</v>
      </c>
      <c r="E18" s="12">
        <v>242</v>
      </c>
      <c r="F18" s="8">
        <v>4.1900000000000004</v>
      </c>
      <c r="G18" s="12">
        <v>124</v>
      </c>
      <c r="H18" s="8">
        <v>2.4</v>
      </c>
      <c r="I18" s="12">
        <v>4</v>
      </c>
    </row>
    <row r="19" spans="2:9" ht="15" customHeight="1" x14ac:dyDescent="0.15">
      <c r="B19" t="s">
        <v>65</v>
      </c>
      <c r="C19" s="12">
        <v>341</v>
      </c>
      <c r="D19" s="8">
        <v>3.11</v>
      </c>
      <c r="E19" s="12">
        <v>68</v>
      </c>
      <c r="F19" s="8">
        <v>1.18</v>
      </c>
      <c r="G19" s="12">
        <v>270</v>
      </c>
      <c r="H19" s="8">
        <v>5.22</v>
      </c>
      <c r="I19" s="12">
        <v>3</v>
      </c>
    </row>
    <row r="20" spans="2:9" ht="15" customHeight="1" x14ac:dyDescent="0.15">
      <c r="B20" s="9" t="s">
        <v>215</v>
      </c>
      <c r="C20" s="12">
        <f>SUM(LTBL_28110[総数／事業所数])</f>
        <v>10975</v>
      </c>
      <c r="E20" s="12">
        <f>SUBTOTAL(109,LTBL_28110[個人／事業所数])</f>
        <v>5777</v>
      </c>
      <c r="G20" s="12">
        <f>SUBTOTAL(109,LTBL_28110[法人／事業所数])</f>
        <v>5173</v>
      </c>
      <c r="I20" s="12">
        <f>SUBTOTAL(109,LTBL_28110[法人以外の団体／事業所数])</f>
        <v>25</v>
      </c>
    </row>
    <row r="21" spans="2:9" ht="15" customHeight="1" x14ac:dyDescent="0.15">
      <c r="E21" s="11">
        <f>LTBL_28110[[#Totals],[個人／事業所数]]/LTBL_28110[[#Totals],[総数／事業所数]]</f>
        <v>0.52637813211845097</v>
      </c>
      <c r="G21" s="11">
        <f>LTBL_28110[[#Totals],[法人／事業所数]]/LTBL_28110[[#Totals],[総数／事業所数]]</f>
        <v>0.47134396355353075</v>
      </c>
      <c r="I21" s="11">
        <f>LTBL_28110[[#Totals],[法人以外の団体／事業所数]]/LTBL_28110[[#Totals],[総数／事業所数]]</f>
        <v>2.2779043280182231E-3</v>
      </c>
    </row>
    <row r="23" spans="2:9" ht="33" customHeight="1" x14ac:dyDescent="0.15">
      <c r="B23" t="s">
        <v>214</v>
      </c>
      <c r="C23" s="10" t="s">
        <v>67</v>
      </c>
      <c r="D23" s="10" t="s">
        <v>259</v>
      </c>
      <c r="E23" s="10" t="s">
        <v>69</v>
      </c>
      <c r="F23" s="10" t="s">
        <v>222</v>
      </c>
      <c r="G23" s="10" t="s">
        <v>71</v>
      </c>
      <c r="H23" s="10" t="s">
        <v>223</v>
      </c>
      <c r="I23" s="10" t="s">
        <v>73</v>
      </c>
    </row>
    <row r="24" spans="2:9" ht="15" customHeight="1" x14ac:dyDescent="0.15">
      <c r="B24" t="s">
        <v>217</v>
      </c>
      <c r="C24">
        <v>8</v>
      </c>
      <c r="D24" t="s">
        <v>216</v>
      </c>
      <c r="E24">
        <v>0</v>
      </c>
      <c r="F24" t="s">
        <v>218</v>
      </c>
      <c r="G24">
        <v>8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260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89</v>
      </c>
      <c r="C29" s="12">
        <v>2787</v>
      </c>
      <c r="D29" s="8">
        <v>25.39</v>
      </c>
      <c r="E29" s="12">
        <v>2518</v>
      </c>
      <c r="F29" s="8">
        <v>43.59</v>
      </c>
      <c r="G29" s="12">
        <v>269</v>
      </c>
      <c r="H29" s="8">
        <v>5.2</v>
      </c>
      <c r="I29" s="12">
        <v>0</v>
      </c>
    </row>
    <row r="30" spans="2:9" ht="15" customHeight="1" x14ac:dyDescent="0.15">
      <c r="B30" t="s">
        <v>87</v>
      </c>
      <c r="C30" s="12">
        <v>856</v>
      </c>
      <c r="D30" s="8">
        <v>7.8</v>
      </c>
      <c r="E30" s="12">
        <v>664</v>
      </c>
      <c r="F30" s="8">
        <v>11.49</v>
      </c>
      <c r="G30" s="12">
        <v>190</v>
      </c>
      <c r="H30" s="8">
        <v>3.67</v>
      </c>
      <c r="I30" s="12">
        <v>2</v>
      </c>
    </row>
    <row r="31" spans="2:9" ht="15" customHeight="1" x14ac:dyDescent="0.15">
      <c r="B31" t="s">
        <v>81</v>
      </c>
      <c r="C31" s="12">
        <v>806</v>
      </c>
      <c r="D31" s="8">
        <v>7.34</v>
      </c>
      <c r="E31" s="12">
        <v>342</v>
      </c>
      <c r="F31" s="8">
        <v>5.92</v>
      </c>
      <c r="G31" s="12">
        <v>464</v>
      </c>
      <c r="H31" s="8">
        <v>8.9700000000000006</v>
      </c>
      <c r="I31" s="12">
        <v>0</v>
      </c>
    </row>
    <row r="32" spans="2:9" ht="15" customHeight="1" x14ac:dyDescent="0.15">
      <c r="B32" t="s">
        <v>86</v>
      </c>
      <c r="C32" s="12">
        <v>785</v>
      </c>
      <c r="D32" s="8">
        <v>7.15</v>
      </c>
      <c r="E32" s="12">
        <v>256</v>
      </c>
      <c r="F32" s="8">
        <v>4.43</v>
      </c>
      <c r="G32" s="12">
        <v>525</v>
      </c>
      <c r="H32" s="8">
        <v>10.15</v>
      </c>
      <c r="I32" s="12">
        <v>4</v>
      </c>
    </row>
    <row r="33" spans="2:9" ht="15" customHeight="1" x14ac:dyDescent="0.15">
      <c r="B33" t="s">
        <v>84</v>
      </c>
      <c r="C33" s="12">
        <v>750</v>
      </c>
      <c r="D33" s="8">
        <v>6.83</v>
      </c>
      <c r="E33" s="12">
        <v>338</v>
      </c>
      <c r="F33" s="8">
        <v>5.85</v>
      </c>
      <c r="G33" s="12">
        <v>411</v>
      </c>
      <c r="H33" s="8">
        <v>7.95</v>
      </c>
      <c r="I33" s="12">
        <v>1</v>
      </c>
    </row>
    <row r="34" spans="2:9" ht="15" customHeight="1" x14ac:dyDescent="0.15">
      <c r="B34" t="s">
        <v>90</v>
      </c>
      <c r="C34" s="12">
        <v>610</v>
      </c>
      <c r="D34" s="8">
        <v>5.56</v>
      </c>
      <c r="E34" s="12">
        <v>476</v>
      </c>
      <c r="F34" s="8">
        <v>8.24</v>
      </c>
      <c r="G34" s="12">
        <v>134</v>
      </c>
      <c r="H34" s="8">
        <v>2.59</v>
      </c>
      <c r="I34" s="12">
        <v>0</v>
      </c>
    </row>
    <row r="35" spans="2:9" ht="15" customHeight="1" x14ac:dyDescent="0.15">
      <c r="B35" t="s">
        <v>82</v>
      </c>
      <c r="C35" s="12">
        <v>354</v>
      </c>
      <c r="D35" s="8">
        <v>3.23</v>
      </c>
      <c r="E35" s="12">
        <v>196</v>
      </c>
      <c r="F35" s="8">
        <v>3.39</v>
      </c>
      <c r="G35" s="12">
        <v>157</v>
      </c>
      <c r="H35" s="8">
        <v>3.03</v>
      </c>
      <c r="I35" s="12">
        <v>1</v>
      </c>
    </row>
    <row r="36" spans="2:9" ht="15" customHeight="1" x14ac:dyDescent="0.15">
      <c r="B36" t="s">
        <v>93</v>
      </c>
      <c r="C36" s="12">
        <v>304</v>
      </c>
      <c r="D36" s="8">
        <v>2.77</v>
      </c>
      <c r="E36" s="12">
        <v>240</v>
      </c>
      <c r="F36" s="8">
        <v>4.1500000000000004</v>
      </c>
      <c r="G36" s="12">
        <v>64</v>
      </c>
      <c r="H36" s="8">
        <v>1.24</v>
      </c>
      <c r="I36" s="12">
        <v>0</v>
      </c>
    </row>
    <row r="37" spans="2:9" ht="15" customHeight="1" x14ac:dyDescent="0.15">
      <c r="B37" t="s">
        <v>88</v>
      </c>
      <c r="C37" s="12">
        <v>257</v>
      </c>
      <c r="D37" s="8">
        <v>2.34</v>
      </c>
      <c r="E37" s="12">
        <v>80</v>
      </c>
      <c r="F37" s="8">
        <v>1.38</v>
      </c>
      <c r="G37" s="12">
        <v>176</v>
      </c>
      <c r="H37" s="8">
        <v>3.4</v>
      </c>
      <c r="I37" s="12">
        <v>1</v>
      </c>
    </row>
    <row r="38" spans="2:9" ht="15" customHeight="1" x14ac:dyDescent="0.15">
      <c r="B38" t="s">
        <v>92</v>
      </c>
      <c r="C38" s="12">
        <v>243</v>
      </c>
      <c r="D38" s="8">
        <v>2.21</v>
      </c>
      <c r="E38" s="12">
        <v>133</v>
      </c>
      <c r="F38" s="8">
        <v>2.2999999999999998</v>
      </c>
      <c r="G38" s="12">
        <v>107</v>
      </c>
      <c r="H38" s="8">
        <v>2.0699999999999998</v>
      </c>
      <c r="I38" s="12">
        <v>3</v>
      </c>
    </row>
    <row r="39" spans="2:9" ht="15" customHeight="1" x14ac:dyDescent="0.15">
      <c r="B39" t="s">
        <v>85</v>
      </c>
      <c r="C39" s="12">
        <v>235</v>
      </c>
      <c r="D39" s="8">
        <v>2.14</v>
      </c>
      <c r="E39" s="12">
        <v>32</v>
      </c>
      <c r="F39" s="8">
        <v>0.55000000000000004</v>
      </c>
      <c r="G39" s="12">
        <v>202</v>
      </c>
      <c r="H39" s="8">
        <v>3.9</v>
      </c>
      <c r="I39" s="12">
        <v>1</v>
      </c>
    </row>
    <row r="40" spans="2:9" ht="15" customHeight="1" x14ac:dyDescent="0.15">
      <c r="B40" t="s">
        <v>80</v>
      </c>
      <c r="C40" s="12">
        <v>227</v>
      </c>
      <c r="D40" s="8">
        <v>2.0699999999999998</v>
      </c>
      <c r="E40" s="12">
        <v>36</v>
      </c>
      <c r="F40" s="8">
        <v>0.62</v>
      </c>
      <c r="G40" s="12">
        <v>191</v>
      </c>
      <c r="H40" s="8">
        <v>3.69</v>
      </c>
      <c r="I40" s="12">
        <v>0</v>
      </c>
    </row>
    <row r="41" spans="2:9" ht="15" customHeight="1" x14ac:dyDescent="0.15">
      <c r="B41" t="s">
        <v>74</v>
      </c>
      <c r="C41" s="12">
        <v>222</v>
      </c>
      <c r="D41" s="8">
        <v>2.02</v>
      </c>
      <c r="E41" s="12">
        <v>9</v>
      </c>
      <c r="F41" s="8">
        <v>0.16</v>
      </c>
      <c r="G41" s="12">
        <v>212</v>
      </c>
      <c r="H41" s="8">
        <v>4.0999999999999996</v>
      </c>
      <c r="I41" s="12">
        <v>1</v>
      </c>
    </row>
    <row r="42" spans="2:9" ht="15" customHeight="1" x14ac:dyDescent="0.15">
      <c r="B42" t="s">
        <v>97</v>
      </c>
      <c r="C42" s="12">
        <v>189</v>
      </c>
      <c r="D42" s="8">
        <v>1.72</v>
      </c>
      <c r="E42" s="12">
        <v>24</v>
      </c>
      <c r="F42" s="8">
        <v>0.42</v>
      </c>
      <c r="G42" s="12">
        <v>163</v>
      </c>
      <c r="H42" s="8">
        <v>3.15</v>
      </c>
      <c r="I42" s="12">
        <v>2</v>
      </c>
    </row>
    <row r="43" spans="2:9" ht="15" customHeight="1" x14ac:dyDescent="0.15">
      <c r="B43" t="s">
        <v>79</v>
      </c>
      <c r="C43" s="12">
        <v>185</v>
      </c>
      <c r="D43" s="8">
        <v>1.69</v>
      </c>
      <c r="E43" s="12">
        <v>5</v>
      </c>
      <c r="F43" s="8">
        <v>0.09</v>
      </c>
      <c r="G43" s="12">
        <v>180</v>
      </c>
      <c r="H43" s="8">
        <v>3.48</v>
      </c>
      <c r="I43" s="12">
        <v>0</v>
      </c>
    </row>
    <row r="44" spans="2:9" ht="15" customHeight="1" x14ac:dyDescent="0.15">
      <c r="B44" t="s">
        <v>91</v>
      </c>
      <c r="C44" s="12">
        <v>184</v>
      </c>
      <c r="D44" s="8">
        <v>1.68</v>
      </c>
      <c r="E44" s="12">
        <v>66</v>
      </c>
      <c r="F44" s="8">
        <v>1.1399999999999999</v>
      </c>
      <c r="G44" s="12">
        <v>118</v>
      </c>
      <c r="H44" s="8">
        <v>2.2799999999999998</v>
      </c>
      <c r="I44" s="12">
        <v>0</v>
      </c>
    </row>
    <row r="45" spans="2:9" ht="15" customHeight="1" x14ac:dyDescent="0.15">
      <c r="B45" t="s">
        <v>76</v>
      </c>
      <c r="C45" s="12">
        <v>134</v>
      </c>
      <c r="D45" s="8">
        <v>1.22</v>
      </c>
      <c r="E45" s="12">
        <v>11</v>
      </c>
      <c r="F45" s="8">
        <v>0.19</v>
      </c>
      <c r="G45" s="12">
        <v>123</v>
      </c>
      <c r="H45" s="8">
        <v>2.38</v>
      </c>
      <c r="I45" s="12">
        <v>0</v>
      </c>
    </row>
    <row r="46" spans="2:9" ht="15" customHeight="1" x14ac:dyDescent="0.15">
      <c r="B46" t="s">
        <v>96</v>
      </c>
      <c r="C46" s="12">
        <v>133</v>
      </c>
      <c r="D46" s="8">
        <v>1.21</v>
      </c>
      <c r="E46" s="12">
        <v>27</v>
      </c>
      <c r="F46" s="8">
        <v>0.47</v>
      </c>
      <c r="G46" s="12">
        <v>106</v>
      </c>
      <c r="H46" s="8">
        <v>2.0499999999999998</v>
      </c>
      <c r="I46" s="12">
        <v>0</v>
      </c>
    </row>
    <row r="47" spans="2:9" ht="15" customHeight="1" x14ac:dyDescent="0.15">
      <c r="B47" t="s">
        <v>102</v>
      </c>
      <c r="C47" s="12">
        <v>117</v>
      </c>
      <c r="D47" s="8">
        <v>1.07</v>
      </c>
      <c r="E47" s="12">
        <v>14</v>
      </c>
      <c r="F47" s="8">
        <v>0.24</v>
      </c>
      <c r="G47" s="12">
        <v>103</v>
      </c>
      <c r="H47" s="8">
        <v>1.99</v>
      </c>
      <c r="I47" s="12">
        <v>0</v>
      </c>
    </row>
    <row r="48" spans="2:9" ht="15" customHeight="1" x14ac:dyDescent="0.15">
      <c r="B48" t="s">
        <v>78</v>
      </c>
      <c r="C48" s="12">
        <v>114</v>
      </c>
      <c r="D48" s="8">
        <v>1.04</v>
      </c>
      <c r="E48" s="12">
        <v>7</v>
      </c>
      <c r="F48" s="8">
        <v>0.12</v>
      </c>
      <c r="G48" s="12">
        <v>107</v>
      </c>
      <c r="H48" s="8">
        <v>2.0699999999999998</v>
      </c>
      <c r="I48" s="12">
        <v>0</v>
      </c>
    </row>
    <row r="51" spans="2:9" ht="33" customHeight="1" x14ac:dyDescent="0.15">
      <c r="B51" t="s">
        <v>230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137</v>
      </c>
      <c r="C52" s="12">
        <v>1220</v>
      </c>
      <c r="D52" s="8">
        <v>11.12</v>
      </c>
      <c r="E52" s="12">
        <v>1198</v>
      </c>
      <c r="F52" s="8">
        <v>20.74</v>
      </c>
      <c r="G52" s="12">
        <v>22</v>
      </c>
      <c r="H52" s="8">
        <v>0.43</v>
      </c>
      <c r="I52" s="12">
        <v>0</v>
      </c>
    </row>
    <row r="53" spans="2:9" ht="15" customHeight="1" x14ac:dyDescent="0.15">
      <c r="B53" t="s">
        <v>135</v>
      </c>
      <c r="C53" s="12">
        <v>542</v>
      </c>
      <c r="D53" s="8">
        <v>4.9400000000000004</v>
      </c>
      <c r="E53" s="12">
        <v>446</v>
      </c>
      <c r="F53" s="8">
        <v>7.72</v>
      </c>
      <c r="G53" s="12">
        <v>96</v>
      </c>
      <c r="H53" s="8">
        <v>1.86</v>
      </c>
      <c r="I53" s="12">
        <v>0</v>
      </c>
    </row>
    <row r="54" spans="2:9" ht="15" customHeight="1" x14ac:dyDescent="0.15">
      <c r="B54" t="s">
        <v>136</v>
      </c>
      <c r="C54" s="12">
        <v>398</v>
      </c>
      <c r="D54" s="8">
        <v>3.63</v>
      </c>
      <c r="E54" s="12">
        <v>345</v>
      </c>
      <c r="F54" s="8">
        <v>5.97</v>
      </c>
      <c r="G54" s="12">
        <v>53</v>
      </c>
      <c r="H54" s="8">
        <v>1.02</v>
      </c>
      <c r="I54" s="12">
        <v>0</v>
      </c>
    </row>
    <row r="55" spans="2:9" ht="15" customHeight="1" x14ac:dyDescent="0.15">
      <c r="B55" t="s">
        <v>128</v>
      </c>
      <c r="C55" s="12">
        <v>343</v>
      </c>
      <c r="D55" s="8">
        <v>3.13</v>
      </c>
      <c r="E55" s="12">
        <v>148</v>
      </c>
      <c r="F55" s="8">
        <v>2.56</v>
      </c>
      <c r="G55" s="12">
        <v>195</v>
      </c>
      <c r="H55" s="8">
        <v>3.77</v>
      </c>
      <c r="I55" s="12">
        <v>0</v>
      </c>
    </row>
    <row r="56" spans="2:9" ht="15" customHeight="1" x14ac:dyDescent="0.15">
      <c r="B56" t="s">
        <v>134</v>
      </c>
      <c r="C56" s="12">
        <v>341</v>
      </c>
      <c r="D56" s="8">
        <v>3.11</v>
      </c>
      <c r="E56" s="12">
        <v>153</v>
      </c>
      <c r="F56" s="8">
        <v>2.65</v>
      </c>
      <c r="G56" s="12">
        <v>188</v>
      </c>
      <c r="H56" s="8">
        <v>3.63</v>
      </c>
      <c r="I56" s="12">
        <v>0</v>
      </c>
    </row>
    <row r="57" spans="2:9" ht="15" customHeight="1" x14ac:dyDescent="0.15">
      <c r="B57" t="s">
        <v>138</v>
      </c>
      <c r="C57" s="12">
        <v>341</v>
      </c>
      <c r="D57" s="8">
        <v>3.11</v>
      </c>
      <c r="E57" s="12">
        <v>290</v>
      </c>
      <c r="F57" s="8">
        <v>5.0199999999999996</v>
      </c>
      <c r="G57" s="12">
        <v>51</v>
      </c>
      <c r="H57" s="8">
        <v>0.99</v>
      </c>
      <c r="I57" s="12">
        <v>0</v>
      </c>
    </row>
    <row r="58" spans="2:9" ht="15" customHeight="1" x14ac:dyDescent="0.15">
      <c r="B58" t="s">
        <v>132</v>
      </c>
      <c r="C58" s="12">
        <v>339</v>
      </c>
      <c r="D58" s="8">
        <v>3.09</v>
      </c>
      <c r="E58" s="12">
        <v>194</v>
      </c>
      <c r="F58" s="8">
        <v>3.36</v>
      </c>
      <c r="G58" s="12">
        <v>145</v>
      </c>
      <c r="H58" s="8">
        <v>2.8</v>
      </c>
      <c r="I58" s="12">
        <v>0</v>
      </c>
    </row>
    <row r="59" spans="2:9" ht="15" customHeight="1" x14ac:dyDescent="0.15">
      <c r="B59" t="s">
        <v>141</v>
      </c>
      <c r="C59" s="12">
        <v>299</v>
      </c>
      <c r="D59" s="8">
        <v>2.72</v>
      </c>
      <c r="E59" s="12">
        <v>247</v>
      </c>
      <c r="F59" s="8">
        <v>4.28</v>
      </c>
      <c r="G59" s="12">
        <v>52</v>
      </c>
      <c r="H59" s="8">
        <v>1.01</v>
      </c>
      <c r="I59" s="12">
        <v>0</v>
      </c>
    </row>
    <row r="60" spans="2:9" ht="15" customHeight="1" x14ac:dyDescent="0.15">
      <c r="B60" t="s">
        <v>163</v>
      </c>
      <c r="C60" s="12">
        <v>239</v>
      </c>
      <c r="D60" s="8">
        <v>2.1800000000000002</v>
      </c>
      <c r="E60" s="12">
        <v>231</v>
      </c>
      <c r="F60" s="8">
        <v>4</v>
      </c>
      <c r="G60" s="12">
        <v>8</v>
      </c>
      <c r="H60" s="8">
        <v>0.15</v>
      </c>
      <c r="I60" s="12">
        <v>0</v>
      </c>
    </row>
    <row r="61" spans="2:9" ht="15" customHeight="1" x14ac:dyDescent="0.15">
      <c r="B61" t="s">
        <v>145</v>
      </c>
      <c r="C61" s="12">
        <v>235</v>
      </c>
      <c r="D61" s="8">
        <v>2.14</v>
      </c>
      <c r="E61" s="12">
        <v>106</v>
      </c>
      <c r="F61" s="8">
        <v>1.83</v>
      </c>
      <c r="G61" s="12">
        <v>129</v>
      </c>
      <c r="H61" s="8">
        <v>2.4900000000000002</v>
      </c>
      <c r="I61" s="12">
        <v>0</v>
      </c>
    </row>
    <row r="62" spans="2:9" ht="15" customHeight="1" x14ac:dyDescent="0.15">
      <c r="B62" t="s">
        <v>164</v>
      </c>
      <c r="C62" s="12">
        <v>212</v>
      </c>
      <c r="D62" s="8">
        <v>1.93</v>
      </c>
      <c r="E62" s="12">
        <v>207</v>
      </c>
      <c r="F62" s="8">
        <v>3.58</v>
      </c>
      <c r="G62" s="12">
        <v>5</v>
      </c>
      <c r="H62" s="8">
        <v>0.1</v>
      </c>
      <c r="I62" s="12">
        <v>0</v>
      </c>
    </row>
    <row r="63" spans="2:9" ht="15" customHeight="1" x14ac:dyDescent="0.15">
      <c r="B63" t="s">
        <v>144</v>
      </c>
      <c r="C63" s="12">
        <v>198</v>
      </c>
      <c r="D63" s="8">
        <v>1.8</v>
      </c>
      <c r="E63" s="12">
        <v>159</v>
      </c>
      <c r="F63" s="8">
        <v>2.75</v>
      </c>
      <c r="G63" s="12">
        <v>39</v>
      </c>
      <c r="H63" s="8">
        <v>0.75</v>
      </c>
      <c r="I63" s="12">
        <v>0</v>
      </c>
    </row>
    <row r="64" spans="2:9" ht="15" customHeight="1" x14ac:dyDescent="0.15">
      <c r="B64" t="s">
        <v>147</v>
      </c>
      <c r="C64" s="12">
        <v>192</v>
      </c>
      <c r="D64" s="8">
        <v>1.75</v>
      </c>
      <c r="E64" s="12">
        <v>37</v>
      </c>
      <c r="F64" s="8">
        <v>0.64</v>
      </c>
      <c r="G64" s="12">
        <v>155</v>
      </c>
      <c r="H64" s="8">
        <v>3</v>
      </c>
      <c r="I64" s="12">
        <v>0</v>
      </c>
    </row>
    <row r="65" spans="2:9" ht="15" customHeight="1" x14ac:dyDescent="0.15">
      <c r="B65" t="s">
        <v>150</v>
      </c>
      <c r="C65" s="12">
        <v>187</v>
      </c>
      <c r="D65" s="8">
        <v>1.7</v>
      </c>
      <c r="E65" s="12">
        <v>58</v>
      </c>
      <c r="F65" s="8">
        <v>1</v>
      </c>
      <c r="G65" s="12">
        <v>129</v>
      </c>
      <c r="H65" s="8">
        <v>2.4900000000000002</v>
      </c>
      <c r="I65" s="12">
        <v>0</v>
      </c>
    </row>
    <row r="66" spans="2:9" ht="15" customHeight="1" x14ac:dyDescent="0.15">
      <c r="B66" t="s">
        <v>133</v>
      </c>
      <c r="C66" s="12">
        <v>174</v>
      </c>
      <c r="D66" s="8">
        <v>1.59</v>
      </c>
      <c r="E66" s="12">
        <v>27</v>
      </c>
      <c r="F66" s="8">
        <v>0.47</v>
      </c>
      <c r="G66" s="12">
        <v>147</v>
      </c>
      <c r="H66" s="8">
        <v>2.84</v>
      </c>
      <c r="I66" s="12">
        <v>0</v>
      </c>
    </row>
    <row r="67" spans="2:9" ht="15" customHeight="1" x14ac:dyDescent="0.15">
      <c r="B67" t="s">
        <v>143</v>
      </c>
      <c r="C67" s="12">
        <v>171</v>
      </c>
      <c r="D67" s="8">
        <v>1.56</v>
      </c>
      <c r="E67" s="12">
        <v>115</v>
      </c>
      <c r="F67" s="8">
        <v>1.99</v>
      </c>
      <c r="G67" s="12">
        <v>55</v>
      </c>
      <c r="H67" s="8">
        <v>1.06</v>
      </c>
      <c r="I67" s="12">
        <v>1</v>
      </c>
    </row>
    <row r="68" spans="2:9" ht="15" customHeight="1" x14ac:dyDescent="0.15">
      <c r="B68" t="s">
        <v>162</v>
      </c>
      <c r="C68" s="12">
        <v>161</v>
      </c>
      <c r="D68" s="8">
        <v>1.47</v>
      </c>
      <c r="E68" s="12">
        <v>29</v>
      </c>
      <c r="F68" s="8">
        <v>0.5</v>
      </c>
      <c r="G68" s="12">
        <v>132</v>
      </c>
      <c r="H68" s="8">
        <v>2.5499999999999998</v>
      </c>
      <c r="I68" s="12">
        <v>0</v>
      </c>
    </row>
    <row r="69" spans="2:9" ht="15" customHeight="1" x14ac:dyDescent="0.15">
      <c r="B69" t="s">
        <v>149</v>
      </c>
      <c r="C69" s="12">
        <v>154</v>
      </c>
      <c r="D69" s="8">
        <v>1.4</v>
      </c>
      <c r="E69" s="12">
        <v>16</v>
      </c>
      <c r="F69" s="8">
        <v>0.28000000000000003</v>
      </c>
      <c r="G69" s="12">
        <v>134</v>
      </c>
      <c r="H69" s="8">
        <v>2.59</v>
      </c>
      <c r="I69" s="12">
        <v>4</v>
      </c>
    </row>
    <row r="70" spans="2:9" ht="15" customHeight="1" x14ac:dyDescent="0.15">
      <c r="B70" t="s">
        <v>129</v>
      </c>
      <c r="C70" s="12">
        <v>145</v>
      </c>
      <c r="D70" s="8">
        <v>1.32</v>
      </c>
      <c r="E70" s="12">
        <v>76</v>
      </c>
      <c r="F70" s="8">
        <v>1.32</v>
      </c>
      <c r="G70" s="12">
        <v>69</v>
      </c>
      <c r="H70" s="8">
        <v>1.33</v>
      </c>
      <c r="I70" s="12">
        <v>0</v>
      </c>
    </row>
    <row r="71" spans="2:9" ht="15" customHeight="1" x14ac:dyDescent="0.15">
      <c r="B71" t="s">
        <v>165</v>
      </c>
      <c r="C71" s="12">
        <v>140</v>
      </c>
      <c r="D71" s="8">
        <v>1.28</v>
      </c>
      <c r="E71" s="12">
        <v>97</v>
      </c>
      <c r="F71" s="8">
        <v>1.68</v>
      </c>
      <c r="G71" s="12">
        <v>43</v>
      </c>
      <c r="H71" s="8">
        <v>0.83</v>
      </c>
      <c r="I71" s="12">
        <v>0</v>
      </c>
    </row>
    <row r="73" spans="2:9" ht="15" customHeight="1" x14ac:dyDescent="0.15">
      <c r="B73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261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455</v>
      </c>
      <c r="D6" s="8">
        <v>14.51</v>
      </c>
      <c r="E6" s="12">
        <v>123</v>
      </c>
      <c r="F6" s="8">
        <v>8.89</v>
      </c>
      <c r="G6" s="12">
        <v>332</v>
      </c>
      <c r="H6" s="8">
        <v>18.98</v>
      </c>
      <c r="I6" s="12">
        <v>0</v>
      </c>
    </row>
    <row r="7" spans="2:9" ht="15" customHeight="1" x14ac:dyDescent="0.15">
      <c r="B7" t="s">
        <v>53</v>
      </c>
      <c r="C7" s="12">
        <v>390</v>
      </c>
      <c r="D7" s="8">
        <v>12.44</v>
      </c>
      <c r="E7" s="12">
        <v>112</v>
      </c>
      <c r="F7" s="8">
        <v>8.1</v>
      </c>
      <c r="G7" s="12">
        <v>277</v>
      </c>
      <c r="H7" s="8">
        <v>15.84</v>
      </c>
      <c r="I7" s="12">
        <v>1</v>
      </c>
    </row>
    <row r="8" spans="2:9" ht="15" customHeight="1" x14ac:dyDescent="0.15">
      <c r="B8" t="s">
        <v>54</v>
      </c>
      <c r="C8" s="12">
        <v>1</v>
      </c>
      <c r="D8" s="8">
        <v>0.03</v>
      </c>
      <c r="E8" s="12">
        <v>0</v>
      </c>
      <c r="F8" s="8">
        <v>0</v>
      </c>
      <c r="G8" s="12">
        <v>1</v>
      </c>
      <c r="H8" s="8">
        <v>0.06</v>
      </c>
      <c r="I8" s="12">
        <v>0</v>
      </c>
    </row>
    <row r="9" spans="2:9" ht="15" customHeight="1" x14ac:dyDescent="0.15">
      <c r="B9" t="s">
        <v>55</v>
      </c>
      <c r="C9" s="12">
        <v>22</v>
      </c>
      <c r="D9" s="8">
        <v>0.7</v>
      </c>
      <c r="E9" s="12">
        <v>3</v>
      </c>
      <c r="F9" s="8">
        <v>0.22</v>
      </c>
      <c r="G9" s="12">
        <v>19</v>
      </c>
      <c r="H9" s="8">
        <v>1.0900000000000001</v>
      </c>
      <c r="I9" s="12">
        <v>0</v>
      </c>
    </row>
    <row r="10" spans="2:9" ht="15" customHeight="1" x14ac:dyDescent="0.15">
      <c r="B10" t="s">
        <v>56</v>
      </c>
      <c r="C10" s="12">
        <v>82</v>
      </c>
      <c r="D10" s="8">
        <v>2.62</v>
      </c>
      <c r="E10" s="12">
        <v>34</v>
      </c>
      <c r="F10" s="8">
        <v>2.46</v>
      </c>
      <c r="G10" s="12">
        <v>48</v>
      </c>
      <c r="H10" s="8">
        <v>2.74</v>
      </c>
      <c r="I10" s="12">
        <v>0</v>
      </c>
    </row>
    <row r="11" spans="2:9" ht="15" customHeight="1" x14ac:dyDescent="0.15">
      <c r="B11" t="s">
        <v>57</v>
      </c>
      <c r="C11" s="12">
        <v>711</v>
      </c>
      <c r="D11" s="8">
        <v>22.68</v>
      </c>
      <c r="E11" s="12">
        <v>273</v>
      </c>
      <c r="F11" s="8">
        <v>19.739999999999998</v>
      </c>
      <c r="G11" s="12">
        <v>436</v>
      </c>
      <c r="H11" s="8">
        <v>24.93</v>
      </c>
      <c r="I11" s="12">
        <v>2</v>
      </c>
    </row>
    <row r="12" spans="2:9" ht="15" customHeight="1" x14ac:dyDescent="0.15">
      <c r="B12" t="s">
        <v>58</v>
      </c>
      <c r="C12" s="12">
        <v>26</v>
      </c>
      <c r="D12" s="8">
        <v>0.83</v>
      </c>
      <c r="E12" s="12">
        <v>2</v>
      </c>
      <c r="F12" s="8">
        <v>0.14000000000000001</v>
      </c>
      <c r="G12" s="12">
        <v>24</v>
      </c>
      <c r="H12" s="8">
        <v>1.37</v>
      </c>
      <c r="I12" s="12">
        <v>0</v>
      </c>
    </row>
    <row r="13" spans="2:9" ht="15" customHeight="1" x14ac:dyDescent="0.15">
      <c r="B13" t="s">
        <v>59</v>
      </c>
      <c r="C13" s="12">
        <v>346</v>
      </c>
      <c r="D13" s="8">
        <v>11.04</v>
      </c>
      <c r="E13" s="12">
        <v>127</v>
      </c>
      <c r="F13" s="8">
        <v>9.18</v>
      </c>
      <c r="G13" s="12">
        <v>219</v>
      </c>
      <c r="H13" s="8">
        <v>12.52</v>
      </c>
      <c r="I13" s="12">
        <v>0</v>
      </c>
    </row>
    <row r="14" spans="2:9" ht="15" customHeight="1" x14ac:dyDescent="0.15">
      <c r="B14" t="s">
        <v>60</v>
      </c>
      <c r="C14" s="12">
        <v>133</v>
      </c>
      <c r="D14" s="8">
        <v>4.24</v>
      </c>
      <c r="E14" s="12">
        <v>55</v>
      </c>
      <c r="F14" s="8">
        <v>3.98</v>
      </c>
      <c r="G14" s="12">
        <v>78</v>
      </c>
      <c r="H14" s="8">
        <v>4.46</v>
      </c>
      <c r="I14" s="12">
        <v>0</v>
      </c>
    </row>
    <row r="15" spans="2:9" ht="15" customHeight="1" x14ac:dyDescent="0.15">
      <c r="B15" t="s">
        <v>61</v>
      </c>
      <c r="C15" s="12">
        <v>232</v>
      </c>
      <c r="D15" s="8">
        <v>7.4</v>
      </c>
      <c r="E15" s="12">
        <v>179</v>
      </c>
      <c r="F15" s="8">
        <v>12.94</v>
      </c>
      <c r="G15" s="12">
        <v>53</v>
      </c>
      <c r="H15" s="8">
        <v>3.03</v>
      </c>
      <c r="I15" s="12">
        <v>0</v>
      </c>
    </row>
    <row r="16" spans="2:9" ht="15" customHeight="1" x14ac:dyDescent="0.15">
      <c r="B16" t="s">
        <v>62</v>
      </c>
      <c r="C16" s="12">
        <v>294</v>
      </c>
      <c r="D16" s="8">
        <v>9.3800000000000008</v>
      </c>
      <c r="E16" s="12">
        <v>202</v>
      </c>
      <c r="F16" s="8">
        <v>14.61</v>
      </c>
      <c r="G16" s="12">
        <v>92</v>
      </c>
      <c r="H16" s="8">
        <v>5.26</v>
      </c>
      <c r="I16" s="12">
        <v>0</v>
      </c>
    </row>
    <row r="17" spans="2:9" ht="15" customHeight="1" x14ac:dyDescent="0.15">
      <c r="B17" t="s">
        <v>63</v>
      </c>
      <c r="C17" s="12">
        <v>143</v>
      </c>
      <c r="D17" s="8">
        <v>4.5599999999999996</v>
      </c>
      <c r="E17" s="12">
        <v>116</v>
      </c>
      <c r="F17" s="8">
        <v>8.39</v>
      </c>
      <c r="G17" s="12">
        <v>27</v>
      </c>
      <c r="H17" s="8">
        <v>1.54</v>
      </c>
      <c r="I17" s="12">
        <v>0</v>
      </c>
    </row>
    <row r="18" spans="2:9" ht="15" customHeight="1" x14ac:dyDescent="0.15">
      <c r="B18" t="s">
        <v>64</v>
      </c>
      <c r="C18" s="12">
        <v>156</v>
      </c>
      <c r="D18" s="8">
        <v>4.9800000000000004</v>
      </c>
      <c r="E18" s="12">
        <v>83</v>
      </c>
      <c r="F18" s="8">
        <v>6</v>
      </c>
      <c r="G18" s="12">
        <v>73</v>
      </c>
      <c r="H18" s="8">
        <v>4.17</v>
      </c>
      <c r="I18" s="12">
        <v>0</v>
      </c>
    </row>
    <row r="19" spans="2:9" ht="15" customHeight="1" x14ac:dyDescent="0.15">
      <c r="B19" t="s">
        <v>65</v>
      </c>
      <c r="C19" s="12">
        <v>144</v>
      </c>
      <c r="D19" s="8">
        <v>4.59</v>
      </c>
      <c r="E19" s="12">
        <v>74</v>
      </c>
      <c r="F19" s="8">
        <v>5.35</v>
      </c>
      <c r="G19" s="12">
        <v>70</v>
      </c>
      <c r="H19" s="8">
        <v>4</v>
      </c>
      <c r="I19" s="12">
        <v>0</v>
      </c>
    </row>
    <row r="20" spans="2:9" ht="15" customHeight="1" x14ac:dyDescent="0.15">
      <c r="B20" s="9" t="s">
        <v>215</v>
      </c>
      <c r="C20" s="12">
        <f>SUM(LTBL_28111[総数／事業所数])</f>
        <v>3135</v>
      </c>
      <c r="E20" s="12">
        <f>SUBTOTAL(109,LTBL_28111[個人／事業所数])</f>
        <v>1383</v>
      </c>
      <c r="G20" s="12">
        <f>SUBTOTAL(109,LTBL_28111[法人／事業所数])</f>
        <v>1749</v>
      </c>
      <c r="I20" s="12">
        <f>SUBTOTAL(109,LTBL_28111[法人以外の団体／事業所数])</f>
        <v>3</v>
      </c>
    </row>
    <row r="21" spans="2:9" ht="15" customHeight="1" x14ac:dyDescent="0.15">
      <c r="E21" s="11">
        <f>LTBL_28111[[#Totals],[個人／事業所数]]/LTBL_28111[[#Totals],[総数／事業所数]]</f>
        <v>0.44114832535885168</v>
      </c>
      <c r="G21" s="11">
        <f>LTBL_28111[[#Totals],[法人／事業所数]]/LTBL_28111[[#Totals],[総数／事業所数]]</f>
        <v>0.55789473684210522</v>
      </c>
      <c r="I21" s="11">
        <f>LTBL_28111[[#Totals],[法人以外の団体／事業所数]]/LTBL_28111[[#Totals],[総数／事業所数]]</f>
        <v>9.5693779904306223E-4</v>
      </c>
    </row>
    <row r="23" spans="2:9" ht="33" customHeight="1" x14ac:dyDescent="0.15">
      <c r="B23" t="s">
        <v>214</v>
      </c>
      <c r="C23" s="10" t="s">
        <v>67</v>
      </c>
      <c r="D23" s="10" t="s">
        <v>262</v>
      </c>
      <c r="E23" s="10" t="s">
        <v>69</v>
      </c>
      <c r="F23" s="10" t="s">
        <v>263</v>
      </c>
      <c r="G23" s="10" t="s">
        <v>71</v>
      </c>
      <c r="H23" s="10" t="s">
        <v>223</v>
      </c>
      <c r="I23" s="10" t="s">
        <v>73</v>
      </c>
    </row>
    <row r="24" spans="2:9" ht="15" customHeight="1" x14ac:dyDescent="0.15">
      <c r="B24" t="s">
        <v>217</v>
      </c>
      <c r="C24">
        <v>23</v>
      </c>
      <c r="D24" t="s">
        <v>216</v>
      </c>
      <c r="E24">
        <v>0</v>
      </c>
      <c r="F24" t="s">
        <v>218</v>
      </c>
      <c r="G24">
        <v>23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229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86</v>
      </c>
      <c r="C29" s="12">
        <v>272</v>
      </c>
      <c r="D29" s="8">
        <v>8.68</v>
      </c>
      <c r="E29" s="12">
        <v>120</v>
      </c>
      <c r="F29" s="8">
        <v>8.68</v>
      </c>
      <c r="G29" s="12">
        <v>152</v>
      </c>
      <c r="H29" s="8">
        <v>8.69</v>
      </c>
      <c r="I29" s="12">
        <v>0</v>
      </c>
    </row>
    <row r="30" spans="2:9" ht="15" customHeight="1" x14ac:dyDescent="0.15">
      <c r="B30" t="s">
        <v>90</v>
      </c>
      <c r="C30" s="12">
        <v>233</v>
      </c>
      <c r="D30" s="8">
        <v>7.43</v>
      </c>
      <c r="E30" s="12">
        <v>181</v>
      </c>
      <c r="F30" s="8">
        <v>13.09</v>
      </c>
      <c r="G30" s="12">
        <v>52</v>
      </c>
      <c r="H30" s="8">
        <v>2.97</v>
      </c>
      <c r="I30" s="12">
        <v>0</v>
      </c>
    </row>
    <row r="31" spans="2:9" ht="15" customHeight="1" x14ac:dyDescent="0.15">
      <c r="B31" t="s">
        <v>74</v>
      </c>
      <c r="C31" s="12">
        <v>216</v>
      </c>
      <c r="D31" s="8">
        <v>6.89</v>
      </c>
      <c r="E31" s="12">
        <v>60</v>
      </c>
      <c r="F31" s="8">
        <v>4.34</v>
      </c>
      <c r="G31" s="12">
        <v>156</v>
      </c>
      <c r="H31" s="8">
        <v>8.92</v>
      </c>
      <c r="I31" s="12">
        <v>0</v>
      </c>
    </row>
    <row r="32" spans="2:9" ht="15" customHeight="1" x14ac:dyDescent="0.15">
      <c r="B32" t="s">
        <v>89</v>
      </c>
      <c r="C32" s="12">
        <v>207</v>
      </c>
      <c r="D32" s="8">
        <v>6.6</v>
      </c>
      <c r="E32" s="12">
        <v>177</v>
      </c>
      <c r="F32" s="8">
        <v>12.8</v>
      </c>
      <c r="G32" s="12">
        <v>30</v>
      </c>
      <c r="H32" s="8">
        <v>1.72</v>
      </c>
      <c r="I32" s="12">
        <v>0</v>
      </c>
    </row>
    <row r="33" spans="2:9" ht="15" customHeight="1" x14ac:dyDescent="0.15">
      <c r="B33" t="s">
        <v>84</v>
      </c>
      <c r="C33" s="12">
        <v>155</v>
      </c>
      <c r="D33" s="8">
        <v>4.9400000000000004</v>
      </c>
      <c r="E33" s="12">
        <v>70</v>
      </c>
      <c r="F33" s="8">
        <v>5.0599999999999996</v>
      </c>
      <c r="G33" s="12">
        <v>85</v>
      </c>
      <c r="H33" s="8">
        <v>4.8600000000000003</v>
      </c>
      <c r="I33" s="12">
        <v>0</v>
      </c>
    </row>
    <row r="34" spans="2:9" ht="15" customHeight="1" x14ac:dyDescent="0.15">
      <c r="B34" t="s">
        <v>92</v>
      </c>
      <c r="C34" s="12">
        <v>143</v>
      </c>
      <c r="D34" s="8">
        <v>4.5599999999999996</v>
      </c>
      <c r="E34" s="12">
        <v>116</v>
      </c>
      <c r="F34" s="8">
        <v>8.39</v>
      </c>
      <c r="G34" s="12">
        <v>27</v>
      </c>
      <c r="H34" s="8">
        <v>1.54</v>
      </c>
      <c r="I34" s="12">
        <v>0</v>
      </c>
    </row>
    <row r="35" spans="2:9" ht="15" customHeight="1" x14ac:dyDescent="0.15">
      <c r="B35" t="s">
        <v>83</v>
      </c>
      <c r="C35" s="12">
        <v>136</v>
      </c>
      <c r="D35" s="8">
        <v>4.34</v>
      </c>
      <c r="E35" s="12">
        <v>77</v>
      </c>
      <c r="F35" s="8">
        <v>5.57</v>
      </c>
      <c r="G35" s="12">
        <v>59</v>
      </c>
      <c r="H35" s="8">
        <v>3.37</v>
      </c>
      <c r="I35" s="12">
        <v>0</v>
      </c>
    </row>
    <row r="36" spans="2:9" ht="15" customHeight="1" x14ac:dyDescent="0.15">
      <c r="B36" t="s">
        <v>75</v>
      </c>
      <c r="C36" s="12">
        <v>124</v>
      </c>
      <c r="D36" s="8">
        <v>3.96</v>
      </c>
      <c r="E36" s="12">
        <v>35</v>
      </c>
      <c r="F36" s="8">
        <v>2.5299999999999998</v>
      </c>
      <c r="G36" s="12">
        <v>89</v>
      </c>
      <c r="H36" s="8">
        <v>5.09</v>
      </c>
      <c r="I36" s="12">
        <v>0</v>
      </c>
    </row>
    <row r="37" spans="2:9" ht="15" customHeight="1" x14ac:dyDescent="0.15">
      <c r="B37" t="s">
        <v>76</v>
      </c>
      <c r="C37" s="12">
        <v>115</v>
      </c>
      <c r="D37" s="8">
        <v>3.67</v>
      </c>
      <c r="E37" s="12">
        <v>28</v>
      </c>
      <c r="F37" s="8">
        <v>2.02</v>
      </c>
      <c r="G37" s="12">
        <v>87</v>
      </c>
      <c r="H37" s="8">
        <v>4.97</v>
      </c>
      <c r="I37" s="12">
        <v>0</v>
      </c>
    </row>
    <row r="38" spans="2:9" ht="15" customHeight="1" x14ac:dyDescent="0.15">
      <c r="B38" t="s">
        <v>82</v>
      </c>
      <c r="C38" s="12">
        <v>113</v>
      </c>
      <c r="D38" s="8">
        <v>3.6</v>
      </c>
      <c r="E38" s="12">
        <v>66</v>
      </c>
      <c r="F38" s="8">
        <v>4.7699999999999996</v>
      </c>
      <c r="G38" s="12">
        <v>46</v>
      </c>
      <c r="H38" s="8">
        <v>2.63</v>
      </c>
      <c r="I38" s="12">
        <v>1</v>
      </c>
    </row>
    <row r="39" spans="2:9" ht="15" customHeight="1" x14ac:dyDescent="0.15">
      <c r="B39" t="s">
        <v>93</v>
      </c>
      <c r="C39" s="12">
        <v>92</v>
      </c>
      <c r="D39" s="8">
        <v>2.93</v>
      </c>
      <c r="E39" s="12">
        <v>80</v>
      </c>
      <c r="F39" s="8">
        <v>5.78</v>
      </c>
      <c r="G39" s="12">
        <v>12</v>
      </c>
      <c r="H39" s="8">
        <v>0.69</v>
      </c>
      <c r="I39" s="12">
        <v>0</v>
      </c>
    </row>
    <row r="40" spans="2:9" ht="15" customHeight="1" x14ac:dyDescent="0.15">
      <c r="B40" t="s">
        <v>78</v>
      </c>
      <c r="C40" s="12">
        <v>83</v>
      </c>
      <c r="D40" s="8">
        <v>2.65</v>
      </c>
      <c r="E40" s="12">
        <v>8</v>
      </c>
      <c r="F40" s="8">
        <v>0.57999999999999996</v>
      </c>
      <c r="G40" s="12">
        <v>75</v>
      </c>
      <c r="H40" s="8">
        <v>4.29</v>
      </c>
      <c r="I40" s="12">
        <v>0</v>
      </c>
    </row>
    <row r="41" spans="2:9" ht="15" customHeight="1" x14ac:dyDescent="0.15">
      <c r="B41" t="s">
        <v>88</v>
      </c>
      <c r="C41" s="12">
        <v>77</v>
      </c>
      <c r="D41" s="8">
        <v>2.46</v>
      </c>
      <c r="E41" s="12">
        <v>25</v>
      </c>
      <c r="F41" s="8">
        <v>1.81</v>
      </c>
      <c r="G41" s="12">
        <v>52</v>
      </c>
      <c r="H41" s="8">
        <v>2.97</v>
      </c>
      <c r="I41" s="12">
        <v>0</v>
      </c>
    </row>
    <row r="42" spans="2:9" ht="15" customHeight="1" x14ac:dyDescent="0.15">
      <c r="B42" t="s">
        <v>106</v>
      </c>
      <c r="C42" s="12">
        <v>74</v>
      </c>
      <c r="D42" s="8">
        <v>2.36</v>
      </c>
      <c r="E42" s="12">
        <v>56</v>
      </c>
      <c r="F42" s="8">
        <v>4.05</v>
      </c>
      <c r="G42" s="12">
        <v>18</v>
      </c>
      <c r="H42" s="8">
        <v>1.03</v>
      </c>
      <c r="I42" s="12">
        <v>0</v>
      </c>
    </row>
    <row r="43" spans="2:9" ht="15" customHeight="1" x14ac:dyDescent="0.15">
      <c r="B43" t="s">
        <v>77</v>
      </c>
      <c r="C43" s="12">
        <v>71</v>
      </c>
      <c r="D43" s="8">
        <v>2.2599999999999998</v>
      </c>
      <c r="E43" s="12">
        <v>25</v>
      </c>
      <c r="F43" s="8">
        <v>1.81</v>
      </c>
      <c r="G43" s="12">
        <v>46</v>
      </c>
      <c r="H43" s="8">
        <v>2.63</v>
      </c>
      <c r="I43" s="12">
        <v>0</v>
      </c>
    </row>
    <row r="44" spans="2:9" ht="15" customHeight="1" x14ac:dyDescent="0.15">
      <c r="B44" t="s">
        <v>81</v>
      </c>
      <c r="C44" s="12">
        <v>70</v>
      </c>
      <c r="D44" s="8">
        <v>2.23</v>
      </c>
      <c r="E44" s="12">
        <v>24</v>
      </c>
      <c r="F44" s="8">
        <v>1.74</v>
      </c>
      <c r="G44" s="12">
        <v>46</v>
      </c>
      <c r="H44" s="8">
        <v>2.63</v>
      </c>
      <c r="I44" s="12">
        <v>0</v>
      </c>
    </row>
    <row r="45" spans="2:9" ht="15" customHeight="1" x14ac:dyDescent="0.15">
      <c r="B45" t="s">
        <v>94</v>
      </c>
      <c r="C45" s="12">
        <v>64</v>
      </c>
      <c r="D45" s="8">
        <v>2.04</v>
      </c>
      <c r="E45" s="12">
        <v>3</v>
      </c>
      <c r="F45" s="8">
        <v>0.22</v>
      </c>
      <c r="G45" s="12">
        <v>61</v>
      </c>
      <c r="H45" s="8">
        <v>3.49</v>
      </c>
      <c r="I45" s="12">
        <v>0</v>
      </c>
    </row>
    <row r="46" spans="2:9" ht="15" customHeight="1" x14ac:dyDescent="0.15">
      <c r="B46" t="s">
        <v>101</v>
      </c>
      <c r="C46" s="12">
        <v>56</v>
      </c>
      <c r="D46" s="8">
        <v>1.79</v>
      </c>
      <c r="E46" s="12">
        <v>15</v>
      </c>
      <c r="F46" s="8">
        <v>1.08</v>
      </c>
      <c r="G46" s="12">
        <v>41</v>
      </c>
      <c r="H46" s="8">
        <v>2.34</v>
      </c>
      <c r="I46" s="12">
        <v>0</v>
      </c>
    </row>
    <row r="47" spans="2:9" ht="15" customHeight="1" x14ac:dyDescent="0.15">
      <c r="B47" t="s">
        <v>79</v>
      </c>
      <c r="C47" s="12">
        <v>56</v>
      </c>
      <c r="D47" s="8">
        <v>1.79</v>
      </c>
      <c r="E47" s="12">
        <v>6</v>
      </c>
      <c r="F47" s="8">
        <v>0.43</v>
      </c>
      <c r="G47" s="12">
        <v>50</v>
      </c>
      <c r="H47" s="8">
        <v>2.86</v>
      </c>
      <c r="I47" s="12">
        <v>0</v>
      </c>
    </row>
    <row r="48" spans="2:9" ht="15" customHeight="1" x14ac:dyDescent="0.15">
      <c r="B48" t="s">
        <v>87</v>
      </c>
      <c r="C48" s="12">
        <v>52</v>
      </c>
      <c r="D48" s="8">
        <v>1.66</v>
      </c>
      <c r="E48" s="12">
        <v>30</v>
      </c>
      <c r="F48" s="8">
        <v>2.17</v>
      </c>
      <c r="G48" s="12">
        <v>22</v>
      </c>
      <c r="H48" s="8">
        <v>1.26</v>
      </c>
      <c r="I48" s="12">
        <v>0</v>
      </c>
    </row>
    <row r="51" spans="2:9" ht="33" customHeight="1" x14ac:dyDescent="0.15">
      <c r="B51" t="s">
        <v>230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134</v>
      </c>
      <c r="C52" s="12">
        <v>149</v>
      </c>
      <c r="D52" s="8">
        <v>4.75</v>
      </c>
      <c r="E52" s="12">
        <v>92</v>
      </c>
      <c r="F52" s="8">
        <v>6.65</v>
      </c>
      <c r="G52" s="12">
        <v>57</v>
      </c>
      <c r="H52" s="8">
        <v>3.26</v>
      </c>
      <c r="I52" s="12">
        <v>0</v>
      </c>
    </row>
    <row r="53" spans="2:9" ht="15" customHeight="1" x14ac:dyDescent="0.15">
      <c r="B53" t="s">
        <v>141</v>
      </c>
      <c r="C53" s="12">
        <v>108</v>
      </c>
      <c r="D53" s="8">
        <v>3.44</v>
      </c>
      <c r="E53" s="12">
        <v>99</v>
      </c>
      <c r="F53" s="8">
        <v>7.16</v>
      </c>
      <c r="G53" s="12">
        <v>9</v>
      </c>
      <c r="H53" s="8">
        <v>0.51</v>
      </c>
      <c r="I53" s="12">
        <v>0</v>
      </c>
    </row>
    <row r="54" spans="2:9" ht="15" customHeight="1" x14ac:dyDescent="0.15">
      <c r="B54" t="s">
        <v>130</v>
      </c>
      <c r="C54" s="12">
        <v>100</v>
      </c>
      <c r="D54" s="8">
        <v>3.19</v>
      </c>
      <c r="E54" s="12">
        <v>55</v>
      </c>
      <c r="F54" s="8">
        <v>3.98</v>
      </c>
      <c r="G54" s="12">
        <v>45</v>
      </c>
      <c r="H54" s="8">
        <v>2.57</v>
      </c>
      <c r="I54" s="12">
        <v>0</v>
      </c>
    </row>
    <row r="55" spans="2:9" ht="15" customHeight="1" x14ac:dyDescent="0.15">
      <c r="B55" t="s">
        <v>143</v>
      </c>
      <c r="C55" s="12">
        <v>85</v>
      </c>
      <c r="D55" s="8">
        <v>2.71</v>
      </c>
      <c r="E55" s="12">
        <v>71</v>
      </c>
      <c r="F55" s="8">
        <v>5.13</v>
      </c>
      <c r="G55" s="12">
        <v>14</v>
      </c>
      <c r="H55" s="8">
        <v>0.8</v>
      </c>
      <c r="I55" s="12">
        <v>0</v>
      </c>
    </row>
    <row r="56" spans="2:9" ht="15" customHeight="1" x14ac:dyDescent="0.15">
      <c r="B56" t="s">
        <v>166</v>
      </c>
      <c r="C56" s="12">
        <v>74</v>
      </c>
      <c r="D56" s="8">
        <v>2.36</v>
      </c>
      <c r="E56" s="12">
        <v>56</v>
      </c>
      <c r="F56" s="8">
        <v>4.05</v>
      </c>
      <c r="G56" s="12">
        <v>18</v>
      </c>
      <c r="H56" s="8">
        <v>1.03</v>
      </c>
      <c r="I56" s="12">
        <v>0</v>
      </c>
    </row>
    <row r="57" spans="2:9" ht="15" customHeight="1" x14ac:dyDescent="0.15">
      <c r="B57" t="s">
        <v>140</v>
      </c>
      <c r="C57" s="12">
        <v>70</v>
      </c>
      <c r="D57" s="8">
        <v>2.23</v>
      </c>
      <c r="E57" s="12">
        <v>60</v>
      </c>
      <c r="F57" s="8">
        <v>4.34</v>
      </c>
      <c r="G57" s="12">
        <v>10</v>
      </c>
      <c r="H57" s="8">
        <v>0.56999999999999995</v>
      </c>
      <c r="I57" s="12">
        <v>0</v>
      </c>
    </row>
    <row r="58" spans="2:9" ht="15" customHeight="1" x14ac:dyDescent="0.15">
      <c r="B58" t="s">
        <v>138</v>
      </c>
      <c r="C58" s="12">
        <v>68</v>
      </c>
      <c r="D58" s="8">
        <v>2.17</v>
      </c>
      <c r="E58" s="12">
        <v>65</v>
      </c>
      <c r="F58" s="8">
        <v>4.7</v>
      </c>
      <c r="G58" s="12">
        <v>3</v>
      </c>
      <c r="H58" s="8">
        <v>0.17</v>
      </c>
      <c r="I58" s="12">
        <v>0</v>
      </c>
    </row>
    <row r="59" spans="2:9" ht="15" customHeight="1" x14ac:dyDescent="0.15">
      <c r="B59" t="s">
        <v>125</v>
      </c>
      <c r="C59" s="12">
        <v>67</v>
      </c>
      <c r="D59" s="8">
        <v>2.14</v>
      </c>
      <c r="E59" s="12">
        <v>20</v>
      </c>
      <c r="F59" s="8">
        <v>1.45</v>
      </c>
      <c r="G59" s="12">
        <v>47</v>
      </c>
      <c r="H59" s="8">
        <v>2.69</v>
      </c>
      <c r="I59" s="12">
        <v>0</v>
      </c>
    </row>
    <row r="60" spans="2:9" ht="15" customHeight="1" x14ac:dyDescent="0.15">
      <c r="B60" t="s">
        <v>144</v>
      </c>
      <c r="C60" s="12">
        <v>62</v>
      </c>
      <c r="D60" s="8">
        <v>1.98</v>
      </c>
      <c r="E60" s="12">
        <v>56</v>
      </c>
      <c r="F60" s="8">
        <v>4.05</v>
      </c>
      <c r="G60" s="12">
        <v>6</v>
      </c>
      <c r="H60" s="8">
        <v>0.34</v>
      </c>
      <c r="I60" s="12">
        <v>0</v>
      </c>
    </row>
    <row r="61" spans="2:9" ht="15" customHeight="1" x14ac:dyDescent="0.15">
      <c r="B61" t="s">
        <v>126</v>
      </c>
      <c r="C61" s="12">
        <v>60</v>
      </c>
      <c r="D61" s="8">
        <v>1.91</v>
      </c>
      <c r="E61" s="12">
        <v>10</v>
      </c>
      <c r="F61" s="8">
        <v>0.72</v>
      </c>
      <c r="G61" s="12">
        <v>50</v>
      </c>
      <c r="H61" s="8">
        <v>2.86</v>
      </c>
      <c r="I61" s="12">
        <v>0</v>
      </c>
    </row>
    <row r="62" spans="2:9" ht="15" customHeight="1" x14ac:dyDescent="0.15">
      <c r="B62" t="s">
        <v>142</v>
      </c>
      <c r="C62" s="12">
        <v>56</v>
      </c>
      <c r="D62" s="8">
        <v>1.79</v>
      </c>
      <c r="E62" s="12">
        <v>43</v>
      </c>
      <c r="F62" s="8">
        <v>3.11</v>
      </c>
      <c r="G62" s="12">
        <v>13</v>
      </c>
      <c r="H62" s="8">
        <v>0.74</v>
      </c>
      <c r="I62" s="12">
        <v>0</v>
      </c>
    </row>
    <row r="63" spans="2:9" ht="15" customHeight="1" x14ac:dyDescent="0.15">
      <c r="B63" t="s">
        <v>132</v>
      </c>
      <c r="C63" s="12">
        <v>54</v>
      </c>
      <c r="D63" s="8">
        <v>1.72</v>
      </c>
      <c r="E63" s="12">
        <v>33</v>
      </c>
      <c r="F63" s="8">
        <v>2.39</v>
      </c>
      <c r="G63" s="12">
        <v>21</v>
      </c>
      <c r="H63" s="8">
        <v>1.2</v>
      </c>
      <c r="I63" s="12">
        <v>0</v>
      </c>
    </row>
    <row r="64" spans="2:9" ht="15" customHeight="1" x14ac:dyDescent="0.15">
      <c r="B64" t="s">
        <v>153</v>
      </c>
      <c r="C64" s="12">
        <v>49</v>
      </c>
      <c r="D64" s="8">
        <v>1.56</v>
      </c>
      <c r="E64" s="12">
        <v>16</v>
      </c>
      <c r="F64" s="8">
        <v>1.1599999999999999</v>
      </c>
      <c r="G64" s="12">
        <v>33</v>
      </c>
      <c r="H64" s="8">
        <v>1.89</v>
      </c>
      <c r="I64" s="12">
        <v>0</v>
      </c>
    </row>
    <row r="65" spans="2:9" ht="15" customHeight="1" x14ac:dyDescent="0.15">
      <c r="B65" t="s">
        <v>147</v>
      </c>
      <c r="C65" s="12">
        <v>49</v>
      </c>
      <c r="D65" s="8">
        <v>1.56</v>
      </c>
      <c r="E65" s="12">
        <v>8</v>
      </c>
      <c r="F65" s="8">
        <v>0.57999999999999996</v>
      </c>
      <c r="G65" s="12">
        <v>41</v>
      </c>
      <c r="H65" s="8">
        <v>2.34</v>
      </c>
      <c r="I65" s="12">
        <v>0</v>
      </c>
    </row>
    <row r="66" spans="2:9" ht="15" customHeight="1" x14ac:dyDescent="0.15">
      <c r="B66" t="s">
        <v>160</v>
      </c>
      <c r="C66" s="12">
        <v>48</v>
      </c>
      <c r="D66" s="8">
        <v>1.53</v>
      </c>
      <c r="E66" s="12">
        <v>13</v>
      </c>
      <c r="F66" s="8">
        <v>0.94</v>
      </c>
      <c r="G66" s="12">
        <v>35</v>
      </c>
      <c r="H66" s="8">
        <v>2</v>
      </c>
      <c r="I66" s="12">
        <v>0</v>
      </c>
    </row>
    <row r="67" spans="2:9" ht="15" customHeight="1" x14ac:dyDescent="0.15">
      <c r="B67" t="s">
        <v>149</v>
      </c>
      <c r="C67" s="12">
        <v>48</v>
      </c>
      <c r="D67" s="8">
        <v>1.53</v>
      </c>
      <c r="E67" s="12">
        <v>1</v>
      </c>
      <c r="F67" s="8">
        <v>7.0000000000000007E-2</v>
      </c>
      <c r="G67" s="12">
        <v>47</v>
      </c>
      <c r="H67" s="8">
        <v>2.69</v>
      </c>
      <c r="I67" s="12">
        <v>0</v>
      </c>
    </row>
    <row r="68" spans="2:9" ht="15" customHeight="1" x14ac:dyDescent="0.15">
      <c r="B68" t="s">
        <v>135</v>
      </c>
      <c r="C68" s="12">
        <v>48</v>
      </c>
      <c r="D68" s="8">
        <v>1.53</v>
      </c>
      <c r="E68" s="12">
        <v>40</v>
      </c>
      <c r="F68" s="8">
        <v>2.89</v>
      </c>
      <c r="G68" s="12">
        <v>8</v>
      </c>
      <c r="H68" s="8">
        <v>0.46</v>
      </c>
      <c r="I68" s="12">
        <v>0</v>
      </c>
    </row>
    <row r="69" spans="2:9" ht="15" customHeight="1" x14ac:dyDescent="0.15">
      <c r="B69" t="s">
        <v>127</v>
      </c>
      <c r="C69" s="12">
        <v>47</v>
      </c>
      <c r="D69" s="8">
        <v>1.5</v>
      </c>
      <c r="E69" s="12">
        <v>14</v>
      </c>
      <c r="F69" s="8">
        <v>1.01</v>
      </c>
      <c r="G69" s="12">
        <v>33</v>
      </c>
      <c r="H69" s="8">
        <v>1.89</v>
      </c>
      <c r="I69" s="12">
        <v>0</v>
      </c>
    </row>
    <row r="70" spans="2:9" ht="15" customHeight="1" x14ac:dyDescent="0.15">
      <c r="B70" t="s">
        <v>128</v>
      </c>
      <c r="C70" s="12">
        <v>42</v>
      </c>
      <c r="D70" s="8">
        <v>1.34</v>
      </c>
      <c r="E70" s="12">
        <v>15</v>
      </c>
      <c r="F70" s="8">
        <v>1.08</v>
      </c>
      <c r="G70" s="12">
        <v>27</v>
      </c>
      <c r="H70" s="8">
        <v>1.54</v>
      </c>
      <c r="I70" s="12">
        <v>0</v>
      </c>
    </row>
    <row r="71" spans="2:9" ht="15" customHeight="1" x14ac:dyDescent="0.15">
      <c r="B71" t="s">
        <v>139</v>
      </c>
      <c r="C71" s="12">
        <v>42</v>
      </c>
      <c r="D71" s="8">
        <v>1.34</v>
      </c>
      <c r="E71" s="12">
        <v>17</v>
      </c>
      <c r="F71" s="8">
        <v>1.23</v>
      </c>
      <c r="G71" s="12">
        <v>25</v>
      </c>
      <c r="H71" s="8">
        <v>1.43</v>
      </c>
      <c r="I71" s="12">
        <v>0</v>
      </c>
    </row>
    <row r="73" spans="2:9" ht="15" customHeight="1" x14ac:dyDescent="0.15">
      <c r="B73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264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3</v>
      </c>
      <c r="D5" s="8">
        <v>0.02</v>
      </c>
      <c r="E5" s="12">
        <v>0</v>
      </c>
      <c r="F5" s="8">
        <v>0</v>
      </c>
      <c r="G5" s="12">
        <v>3</v>
      </c>
      <c r="H5" s="8">
        <v>0.06</v>
      </c>
      <c r="I5" s="12">
        <v>0</v>
      </c>
    </row>
    <row r="6" spans="2:9" ht="15" customHeight="1" x14ac:dyDescent="0.15">
      <c r="B6" t="s">
        <v>52</v>
      </c>
      <c r="C6" s="12">
        <v>1726</v>
      </c>
      <c r="D6" s="8">
        <v>12.57</v>
      </c>
      <c r="E6" s="12">
        <v>585</v>
      </c>
      <c r="F6" s="8">
        <v>7.06</v>
      </c>
      <c r="G6" s="12">
        <v>1141</v>
      </c>
      <c r="H6" s="8">
        <v>21.01</v>
      </c>
      <c r="I6" s="12">
        <v>0</v>
      </c>
    </row>
    <row r="7" spans="2:9" ht="15" customHeight="1" x14ac:dyDescent="0.15">
      <c r="B7" t="s">
        <v>53</v>
      </c>
      <c r="C7" s="12">
        <v>1246</v>
      </c>
      <c r="D7" s="8">
        <v>9.07</v>
      </c>
      <c r="E7" s="12">
        <v>622</v>
      </c>
      <c r="F7" s="8">
        <v>7.51</v>
      </c>
      <c r="G7" s="12">
        <v>623</v>
      </c>
      <c r="H7" s="8">
        <v>11.47</v>
      </c>
      <c r="I7" s="12">
        <v>1</v>
      </c>
    </row>
    <row r="8" spans="2:9" ht="15" customHeight="1" x14ac:dyDescent="0.15">
      <c r="B8" t="s">
        <v>54</v>
      </c>
      <c r="C8" s="12">
        <v>3</v>
      </c>
      <c r="D8" s="8">
        <v>0.02</v>
      </c>
      <c r="E8" s="12">
        <v>0</v>
      </c>
      <c r="F8" s="8">
        <v>0</v>
      </c>
      <c r="G8" s="12">
        <v>3</v>
      </c>
      <c r="H8" s="8">
        <v>0.06</v>
      </c>
      <c r="I8" s="12">
        <v>0</v>
      </c>
    </row>
    <row r="9" spans="2:9" ht="15" customHeight="1" x14ac:dyDescent="0.15">
      <c r="B9" t="s">
        <v>55</v>
      </c>
      <c r="C9" s="12">
        <v>86</v>
      </c>
      <c r="D9" s="8">
        <v>0.63</v>
      </c>
      <c r="E9" s="12">
        <v>11</v>
      </c>
      <c r="F9" s="8">
        <v>0.13</v>
      </c>
      <c r="G9" s="12">
        <v>75</v>
      </c>
      <c r="H9" s="8">
        <v>1.38</v>
      </c>
      <c r="I9" s="12">
        <v>0</v>
      </c>
    </row>
    <row r="10" spans="2:9" ht="15" customHeight="1" x14ac:dyDescent="0.15">
      <c r="B10" t="s">
        <v>56</v>
      </c>
      <c r="C10" s="12">
        <v>130</v>
      </c>
      <c r="D10" s="8">
        <v>0.95</v>
      </c>
      <c r="E10" s="12">
        <v>33</v>
      </c>
      <c r="F10" s="8">
        <v>0.4</v>
      </c>
      <c r="G10" s="12">
        <v>97</v>
      </c>
      <c r="H10" s="8">
        <v>1.79</v>
      </c>
      <c r="I10" s="12">
        <v>0</v>
      </c>
    </row>
    <row r="11" spans="2:9" ht="15" customHeight="1" x14ac:dyDescent="0.15">
      <c r="B11" t="s">
        <v>57</v>
      </c>
      <c r="C11" s="12">
        <v>3513</v>
      </c>
      <c r="D11" s="8">
        <v>25.58</v>
      </c>
      <c r="E11" s="12">
        <v>1926</v>
      </c>
      <c r="F11" s="8">
        <v>23.25</v>
      </c>
      <c r="G11" s="12">
        <v>1586</v>
      </c>
      <c r="H11" s="8">
        <v>29.21</v>
      </c>
      <c r="I11" s="12">
        <v>1</v>
      </c>
    </row>
    <row r="12" spans="2:9" ht="15" customHeight="1" x14ac:dyDescent="0.15">
      <c r="B12" t="s">
        <v>58</v>
      </c>
      <c r="C12" s="12">
        <v>116</v>
      </c>
      <c r="D12" s="8">
        <v>0.84</v>
      </c>
      <c r="E12" s="12">
        <v>27</v>
      </c>
      <c r="F12" s="8">
        <v>0.33</v>
      </c>
      <c r="G12" s="12">
        <v>88</v>
      </c>
      <c r="H12" s="8">
        <v>1.62</v>
      </c>
      <c r="I12" s="12">
        <v>1</v>
      </c>
    </row>
    <row r="13" spans="2:9" ht="15" customHeight="1" x14ac:dyDescent="0.15">
      <c r="B13" t="s">
        <v>59</v>
      </c>
      <c r="C13" s="12">
        <v>1178</v>
      </c>
      <c r="D13" s="8">
        <v>8.58</v>
      </c>
      <c r="E13" s="12">
        <v>576</v>
      </c>
      <c r="F13" s="8">
        <v>6.95</v>
      </c>
      <c r="G13" s="12">
        <v>598</v>
      </c>
      <c r="H13" s="8">
        <v>11.01</v>
      </c>
      <c r="I13" s="12">
        <v>4</v>
      </c>
    </row>
    <row r="14" spans="2:9" ht="15" customHeight="1" x14ac:dyDescent="0.15">
      <c r="B14" t="s">
        <v>60</v>
      </c>
      <c r="C14" s="12">
        <v>631</v>
      </c>
      <c r="D14" s="8">
        <v>4.59</v>
      </c>
      <c r="E14" s="12">
        <v>403</v>
      </c>
      <c r="F14" s="8">
        <v>4.87</v>
      </c>
      <c r="G14" s="12">
        <v>228</v>
      </c>
      <c r="H14" s="8">
        <v>4.2</v>
      </c>
      <c r="I14" s="12">
        <v>0</v>
      </c>
    </row>
    <row r="15" spans="2:9" ht="15" customHeight="1" x14ac:dyDescent="0.15">
      <c r="B15" t="s">
        <v>61</v>
      </c>
      <c r="C15" s="12">
        <v>1999</v>
      </c>
      <c r="D15" s="8">
        <v>14.56</v>
      </c>
      <c r="E15" s="12">
        <v>1790</v>
      </c>
      <c r="F15" s="8">
        <v>21.61</v>
      </c>
      <c r="G15" s="12">
        <v>208</v>
      </c>
      <c r="H15" s="8">
        <v>3.83</v>
      </c>
      <c r="I15" s="12">
        <v>1</v>
      </c>
    </row>
    <row r="16" spans="2:9" ht="15" customHeight="1" x14ac:dyDescent="0.15">
      <c r="B16" t="s">
        <v>62</v>
      </c>
      <c r="C16" s="12">
        <v>1594</v>
      </c>
      <c r="D16" s="8">
        <v>11.61</v>
      </c>
      <c r="E16" s="12">
        <v>1275</v>
      </c>
      <c r="F16" s="8">
        <v>15.39</v>
      </c>
      <c r="G16" s="12">
        <v>319</v>
      </c>
      <c r="H16" s="8">
        <v>5.87</v>
      </c>
      <c r="I16" s="12">
        <v>0</v>
      </c>
    </row>
    <row r="17" spans="2:9" ht="15" customHeight="1" x14ac:dyDescent="0.15">
      <c r="B17" t="s">
        <v>63</v>
      </c>
      <c r="C17" s="12">
        <v>585</v>
      </c>
      <c r="D17" s="8">
        <v>4.26</v>
      </c>
      <c r="E17" s="12">
        <v>467</v>
      </c>
      <c r="F17" s="8">
        <v>5.64</v>
      </c>
      <c r="G17" s="12">
        <v>114</v>
      </c>
      <c r="H17" s="8">
        <v>2.1</v>
      </c>
      <c r="I17" s="12">
        <v>4</v>
      </c>
    </row>
    <row r="18" spans="2:9" ht="15" customHeight="1" x14ac:dyDescent="0.15">
      <c r="B18" t="s">
        <v>64</v>
      </c>
      <c r="C18" s="12">
        <v>485</v>
      </c>
      <c r="D18" s="8">
        <v>3.53</v>
      </c>
      <c r="E18" s="12">
        <v>359</v>
      </c>
      <c r="F18" s="8">
        <v>4.33</v>
      </c>
      <c r="G18" s="12">
        <v>125</v>
      </c>
      <c r="H18" s="8">
        <v>2.2999999999999998</v>
      </c>
      <c r="I18" s="12">
        <v>1</v>
      </c>
    </row>
    <row r="19" spans="2:9" ht="15" customHeight="1" x14ac:dyDescent="0.15">
      <c r="B19" t="s">
        <v>65</v>
      </c>
      <c r="C19" s="12">
        <v>439</v>
      </c>
      <c r="D19" s="8">
        <v>3.2</v>
      </c>
      <c r="E19" s="12">
        <v>209</v>
      </c>
      <c r="F19" s="8">
        <v>2.52</v>
      </c>
      <c r="G19" s="12">
        <v>222</v>
      </c>
      <c r="H19" s="8">
        <v>4.09</v>
      </c>
      <c r="I19" s="12">
        <v>8</v>
      </c>
    </row>
    <row r="20" spans="2:9" ht="15" customHeight="1" x14ac:dyDescent="0.15">
      <c r="B20" s="9" t="s">
        <v>215</v>
      </c>
      <c r="C20" s="12">
        <f>SUM(LTBL_28201[総数／事業所数])</f>
        <v>13734</v>
      </c>
      <c r="E20" s="12">
        <f>SUBTOTAL(109,LTBL_28201[個人／事業所数])</f>
        <v>8283</v>
      </c>
      <c r="G20" s="12">
        <f>SUBTOTAL(109,LTBL_28201[法人／事業所数])</f>
        <v>5430</v>
      </c>
      <c r="I20" s="12">
        <f>SUBTOTAL(109,LTBL_28201[法人以外の団体／事業所数])</f>
        <v>21</v>
      </c>
    </row>
    <row r="21" spans="2:9" ht="15" customHeight="1" x14ac:dyDescent="0.15">
      <c r="E21" s="11">
        <f>LTBL_28201[[#Totals],[個人／事業所数]]/LTBL_28201[[#Totals],[総数／事業所数]]</f>
        <v>0.6031017911751857</v>
      </c>
      <c r="G21" s="11">
        <f>LTBL_28201[[#Totals],[法人／事業所数]]/LTBL_28201[[#Totals],[総数／事業所数]]</f>
        <v>0.39536915683704676</v>
      </c>
      <c r="I21" s="11">
        <f>LTBL_28201[[#Totals],[法人以外の団体／事業所数]]/LTBL_28201[[#Totals],[総数／事業所数]]</f>
        <v>1.5290519877675841E-3</v>
      </c>
    </row>
    <row r="23" spans="2:9" ht="33" customHeight="1" x14ac:dyDescent="0.15">
      <c r="B23" t="s">
        <v>214</v>
      </c>
      <c r="C23" s="10" t="s">
        <v>67</v>
      </c>
      <c r="D23" s="10" t="s">
        <v>265</v>
      </c>
      <c r="E23" s="10" t="s">
        <v>69</v>
      </c>
      <c r="F23" s="10" t="s">
        <v>266</v>
      </c>
      <c r="G23" s="10" t="s">
        <v>71</v>
      </c>
      <c r="H23" s="10" t="s">
        <v>267</v>
      </c>
      <c r="I23" s="10" t="s">
        <v>73</v>
      </c>
    </row>
    <row r="24" spans="2:9" ht="15" customHeight="1" x14ac:dyDescent="0.15">
      <c r="B24" t="s">
        <v>217</v>
      </c>
      <c r="C24">
        <v>36</v>
      </c>
      <c r="D24" t="s">
        <v>216</v>
      </c>
      <c r="E24">
        <v>0</v>
      </c>
      <c r="F24" t="s">
        <v>218</v>
      </c>
      <c r="G24">
        <v>36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1</v>
      </c>
      <c r="D25" t="s">
        <v>216</v>
      </c>
      <c r="E25">
        <v>0</v>
      </c>
      <c r="F25" t="s">
        <v>218</v>
      </c>
      <c r="G25">
        <v>1</v>
      </c>
      <c r="H25" t="s">
        <v>219</v>
      </c>
      <c r="I25">
        <v>0</v>
      </c>
    </row>
    <row r="28" spans="2:9" ht="33" customHeight="1" x14ac:dyDescent="0.15">
      <c r="B28" t="s">
        <v>229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89</v>
      </c>
      <c r="C29" s="12">
        <v>1843</v>
      </c>
      <c r="D29" s="8">
        <v>13.42</v>
      </c>
      <c r="E29" s="12">
        <v>1722</v>
      </c>
      <c r="F29" s="8">
        <v>20.79</v>
      </c>
      <c r="G29" s="12">
        <v>120</v>
      </c>
      <c r="H29" s="8">
        <v>2.21</v>
      </c>
      <c r="I29" s="12">
        <v>1</v>
      </c>
    </row>
    <row r="30" spans="2:9" ht="15" customHeight="1" x14ac:dyDescent="0.15">
      <c r="B30" t="s">
        <v>90</v>
      </c>
      <c r="C30" s="12">
        <v>1348</v>
      </c>
      <c r="D30" s="8">
        <v>9.82</v>
      </c>
      <c r="E30" s="12">
        <v>1140</v>
      </c>
      <c r="F30" s="8">
        <v>13.76</v>
      </c>
      <c r="G30" s="12">
        <v>208</v>
      </c>
      <c r="H30" s="8">
        <v>3.83</v>
      </c>
      <c r="I30" s="12">
        <v>0</v>
      </c>
    </row>
    <row r="31" spans="2:9" ht="15" customHeight="1" x14ac:dyDescent="0.15">
      <c r="B31" t="s">
        <v>84</v>
      </c>
      <c r="C31" s="12">
        <v>1028</v>
      </c>
      <c r="D31" s="8">
        <v>7.49</v>
      </c>
      <c r="E31" s="12">
        <v>645</v>
      </c>
      <c r="F31" s="8">
        <v>7.79</v>
      </c>
      <c r="G31" s="12">
        <v>383</v>
      </c>
      <c r="H31" s="8">
        <v>7.05</v>
      </c>
      <c r="I31" s="12">
        <v>0</v>
      </c>
    </row>
    <row r="32" spans="2:9" ht="15" customHeight="1" x14ac:dyDescent="0.15">
      <c r="B32" t="s">
        <v>86</v>
      </c>
      <c r="C32" s="12">
        <v>882</v>
      </c>
      <c r="D32" s="8">
        <v>6.42</v>
      </c>
      <c r="E32" s="12">
        <v>516</v>
      </c>
      <c r="F32" s="8">
        <v>6.23</v>
      </c>
      <c r="G32" s="12">
        <v>362</v>
      </c>
      <c r="H32" s="8">
        <v>6.67</v>
      </c>
      <c r="I32" s="12">
        <v>4</v>
      </c>
    </row>
    <row r="33" spans="2:9" ht="15" customHeight="1" x14ac:dyDescent="0.15">
      <c r="B33" t="s">
        <v>74</v>
      </c>
      <c r="C33" s="12">
        <v>841</v>
      </c>
      <c r="D33" s="8">
        <v>6.12</v>
      </c>
      <c r="E33" s="12">
        <v>242</v>
      </c>
      <c r="F33" s="8">
        <v>2.92</v>
      </c>
      <c r="G33" s="12">
        <v>599</v>
      </c>
      <c r="H33" s="8">
        <v>11.03</v>
      </c>
      <c r="I33" s="12">
        <v>0</v>
      </c>
    </row>
    <row r="34" spans="2:9" ht="15" customHeight="1" x14ac:dyDescent="0.15">
      <c r="B34" t="s">
        <v>82</v>
      </c>
      <c r="C34" s="12">
        <v>639</v>
      </c>
      <c r="D34" s="8">
        <v>4.6500000000000004</v>
      </c>
      <c r="E34" s="12">
        <v>479</v>
      </c>
      <c r="F34" s="8">
        <v>5.78</v>
      </c>
      <c r="G34" s="12">
        <v>160</v>
      </c>
      <c r="H34" s="8">
        <v>2.95</v>
      </c>
      <c r="I34" s="12">
        <v>0</v>
      </c>
    </row>
    <row r="35" spans="2:9" ht="15" customHeight="1" x14ac:dyDescent="0.15">
      <c r="B35" t="s">
        <v>92</v>
      </c>
      <c r="C35" s="12">
        <v>585</v>
      </c>
      <c r="D35" s="8">
        <v>4.26</v>
      </c>
      <c r="E35" s="12">
        <v>467</v>
      </c>
      <c r="F35" s="8">
        <v>5.64</v>
      </c>
      <c r="G35" s="12">
        <v>114</v>
      </c>
      <c r="H35" s="8">
        <v>2.1</v>
      </c>
      <c r="I35" s="12">
        <v>4</v>
      </c>
    </row>
    <row r="36" spans="2:9" ht="15" customHeight="1" x14ac:dyDescent="0.15">
      <c r="B36" t="s">
        <v>81</v>
      </c>
      <c r="C36" s="12">
        <v>483</v>
      </c>
      <c r="D36" s="8">
        <v>3.52</v>
      </c>
      <c r="E36" s="12">
        <v>264</v>
      </c>
      <c r="F36" s="8">
        <v>3.19</v>
      </c>
      <c r="G36" s="12">
        <v>219</v>
      </c>
      <c r="H36" s="8">
        <v>4.03</v>
      </c>
      <c r="I36" s="12">
        <v>0</v>
      </c>
    </row>
    <row r="37" spans="2:9" ht="15" customHeight="1" x14ac:dyDescent="0.15">
      <c r="B37" t="s">
        <v>76</v>
      </c>
      <c r="C37" s="12">
        <v>469</v>
      </c>
      <c r="D37" s="8">
        <v>3.41</v>
      </c>
      <c r="E37" s="12">
        <v>149</v>
      </c>
      <c r="F37" s="8">
        <v>1.8</v>
      </c>
      <c r="G37" s="12">
        <v>320</v>
      </c>
      <c r="H37" s="8">
        <v>5.89</v>
      </c>
      <c r="I37" s="12">
        <v>0</v>
      </c>
    </row>
    <row r="38" spans="2:9" ht="15" customHeight="1" x14ac:dyDescent="0.15">
      <c r="B38" t="s">
        <v>83</v>
      </c>
      <c r="C38" s="12">
        <v>452</v>
      </c>
      <c r="D38" s="8">
        <v>3.29</v>
      </c>
      <c r="E38" s="12">
        <v>305</v>
      </c>
      <c r="F38" s="8">
        <v>3.68</v>
      </c>
      <c r="G38" s="12">
        <v>147</v>
      </c>
      <c r="H38" s="8">
        <v>2.71</v>
      </c>
      <c r="I38" s="12">
        <v>0</v>
      </c>
    </row>
    <row r="39" spans="2:9" ht="15" customHeight="1" x14ac:dyDescent="0.15">
      <c r="B39" t="s">
        <v>75</v>
      </c>
      <c r="C39" s="12">
        <v>416</v>
      </c>
      <c r="D39" s="8">
        <v>3.03</v>
      </c>
      <c r="E39" s="12">
        <v>194</v>
      </c>
      <c r="F39" s="8">
        <v>2.34</v>
      </c>
      <c r="G39" s="12">
        <v>222</v>
      </c>
      <c r="H39" s="8">
        <v>4.09</v>
      </c>
      <c r="I39" s="12">
        <v>0</v>
      </c>
    </row>
    <row r="40" spans="2:9" ht="15" customHeight="1" x14ac:dyDescent="0.15">
      <c r="B40" t="s">
        <v>93</v>
      </c>
      <c r="C40" s="12">
        <v>391</v>
      </c>
      <c r="D40" s="8">
        <v>2.85</v>
      </c>
      <c r="E40" s="12">
        <v>357</v>
      </c>
      <c r="F40" s="8">
        <v>4.3099999999999996</v>
      </c>
      <c r="G40" s="12">
        <v>33</v>
      </c>
      <c r="H40" s="8">
        <v>0.61</v>
      </c>
      <c r="I40" s="12">
        <v>1</v>
      </c>
    </row>
    <row r="41" spans="2:9" ht="15" customHeight="1" x14ac:dyDescent="0.15">
      <c r="B41" t="s">
        <v>87</v>
      </c>
      <c r="C41" s="12">
        <v>339</v>
      </c>
      <c r="D41" s="8">
        <v>2.4700000000000002</v>
      </c>
      <c r="E41" s="12">
        <v>276</v>
      </c>
      <c r="F41" s="8">
        <v>3.33</v>
      </c>
      <c r="G41" s="12">
        <v>63</v>
      </c>
      <c r="H41" s="8">
        <v>1.1599999999999999</v>
      </c>
      <c r="I41" s="12">
        <v>0</v>
      </c>
    </row>
    <row r="42" spans="2:9" ht="15" customHeight="1" x14ac:dyDescent="0.15">
      <c r="B42" t="s">
        <v>88</v>
      </c>
      <c r="C42" s="12">
        <v>269</v>
      </c>
      <c r="D42" s="8">
        <v>1.96</v>
      </c>
      <c r="E42" s="12">
        <v>125</v>
      </c>
      <c r="F42" s="8">
        <v>1.51</v>
      </c>
      <c r="G42" s="12">
        <v>144</v>
      </c>
      <c r="H42" s="8">
        <v>2.65</v>
      </c>
      <c r="I42" s="12">
        <v>0</v>
      </c>
    </row>
    <row r="43" spans="2:9" ht="15" customHeight="1" x14ac:dyDescent="0.15">
      <c r="B43" t="s">
        <v>78</v>
      </c>
      <c r="C43" s="12">
        <v>240</v>
      </c>
      <c r="D43" s="8">
        <v>1.75</v>
      </c>
      <c r="E43" s="12">
        <v>43</v>
      </c>
      <c r="F43" s="8">
        <v>0.52</v>
      </c>
      <c r="G43" s="12">
        <v>197</v>
      </c>
      <c r="H43" s="8">
        <v>3.63</v>
      </c>
      <c r="I43" s="12">
        <v>0</v>
      </c>
    </row>
    <row r="44" spans="2:9" ht="15" customHeight="1" x14ac:dyDescent="0.15">
      <c r="B44" t="s">
        <v>85</v>
      </c>
      <c r="C44" s="12">
        <v>234</v>
      </c>
      <c r="D44" s="8">
        <v>1.7</v>
      </c>
      <c r="E44" s="12">
        <v>50</v>
      </c>
      <c r="F44" s="8">
        <v>0.6</v>
      </c>
      <c r="G44" s="12">
        <v>184</v>
      </c>
      <c r="H44" s="8">
        <v>3.39</v>
      </c>
      <c r="I44" s="12">
        <v>0</v>
      </c>
    </row>
    <row r="45" spans="2:9" ht="15" customHeight="1" x14ac:dyDescent="0.15">
      <c r="B45" t="s">
        <v>106</v>
      </c>
      <c r="C45" s="12">
        <v>208</v>
      </c>
      <c r="D45" s="8">
        <v>1.51</v>
      </c>
      <c r="E45" s="12">
        <v>169</v>
      </c>
      <c r="F45" s="8">
        <v>2.04</v>
      </c>
      <c r="G45" s="12">
        <v>39</v>
      </c>
      <c r="H45" s="8">
        <v>0.72</v>
      </c>
      <c r="I45" s="12">
        <v>0</v>
      </c>
    </row>
    <row r="46" spans="2:9" ht="15" customHeight="1" x14ac:dyDescent="0.15">
      <c r="B46" t="s">
        <v>79</v>
      </c>
      <c r="C46" s="12">
        <v>198</v>
      </c>
      <c r="D46" s="8">
        <v>1.44</v>
      </c>
      <c r="E46" s="12">
        <v>31</v>
      </c>
      <c r="F46" s="8">
        <v>0.37</v>
      </c>
      <c r="G46" s="12">
        <v>167</v>
      </c>
      <c r="H46" s="8">
        <v>3.08</v>
      </c>
      <c r="I46" s="12">
        <v>0</v>
      </c>
    </row>
    <row r="47" spans="2:9" ht="15" customHeight="1" x14ac:dyDescent="0.15">
      <c r="B47" t="s">
        <v>77</v>
      </c>
      <c r="C47" s="12">
        <v>183</v>
      </c>
      <c r="D47" s="8">
        <v>1.33</v>
      </c>
      <c r="E47" s="12">
        <v>83</v>
      </c>
      <c r="F47" s="8">
        <v>1</v>
      </c>
      <c r="G47" s="12">
        <v>100</v>
      </c>
      <c r="H47" s="8">
        <v>1.84</v>
      </c>
      <c r="I47" s="12">
        <v>0</v>
      </c>
    </row>
    <row r="48" spans="2:9" ht="15" customHeight="1" x14ac:dyDescent="0.15">
      <c r="B48" t="s">
        <v>96</v>
      </c>
      <c r="C48" s="12">
        <v>179</v>
      </c>
      <c r="D48" s="8">
        <v>1.3</v>
      </c>
      <c r="E48" s="12">
        <v>62</v>
      </c>
      <c r="F48" s="8">
        <v>0.75</v>
      </c>
      <c r="G48" s="12">
        <v>117</v>
      </c>
      <c r="H48" s="8">
        <v>2.15</v>
      </c>
      <c r="I48" s="12">
        <v>0</v>
      </c>
    </row>
    <row r="51" spans="2:9" ht="33" customHeight="1" x14ac:dyDescent="0.15">
      <c r="B51" t="s">
        <v>248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141</v>
      </c>
      <c r="C52" s="12">
        <v>697</v>
      </c>
      <c r="D52" s="8">
        <v>5.07</v>
      </c>
      <c r="E52" s="12">
        <v>639</v>
      </c>
      <c r="F52" s="8">
        <v>7.71</v>
      </c>
      <c r="G52" s="12">
        <v>58</v>
      </c>
      <c r="H52" s="8">
        <v>1.07</v>
      </c>
      <c r="I52" s="12">
        <v>0</v>
      </c>
    </row>
    <row r="53" spans="2:9" ht="15" customHeight="1" x14ac:dyDescent="0.15">
      <c r="B53" t="s">
        <v>137</v>
      </c>
      <c r="C53" s="12">
        <v>474</v>
      </c>
      <c r="D53" s="8">
        <v>3.45</v>
      </c>
      <c r="E53" s="12">
        <v>468</v>
      </c>
      <c r="F53" s="8">
        <v>5.65</v>
      </c>
      <c r="G53" s="12">
        <v>6</v>
      </c>
      <c r="H53" s="8">
        <v>0.11</v>
      </c>
      <c r="I53" s="12">
        <v>0</v>
      </c>
    </row>
    <row r="54" spans="2:9" ht="15" customHeight="1" x14ac:dyDescent="0.15">
      <c r="B54" t="s">
        <v>134</v>
      </c>
      <c r="C54" s="12">
        <v>460</v>
      </c>
      <c r="D54" s="8">
        <v>3.35</v>
      </c>
      <c r="E54" s="12">
        <v>351</v>
      </c>
      <c r="F54" s="8">
        <v>4.24</v>
      </c>
      <c r="G54" s="12">
        <v>109</v>
      </c>
      <c r="H54" s="8">
        <v>2.0099999999999998</v>
      </c>
      <c r="I54" s="12">
        <v>0</v>
      </c>
    </row>
    <row r="55" spans="2:9" ht="15" customHeight="1" x14ac:dyDescent="0.15">
      <c r="B55" t="s">
        <v>138</v>
      </c>
      <c r="C55" s="12">
        <v>443</v>
      </c>
      <c r="D55" s="8">
        <v>3.23</v>
      </c>
      <c r="E55" s="12">
        <v>417</v>
      </c>
      <c r="F55" s="8">
        <v>5.03</v>
      </c>
      <c r="G55" s="12">
        <v>26</v>
      </c>
      <c r="H55" s="8">
        <v>0.48</v>
      </c>
      <c r="I55" s="12">
        <v>0</v>
      </c>
    </row>
    <row r="56" spans="2:9" ht="15" customHeight="1" x14ac:dyDescent="0.15">
      <c r="B56" t="s">
        <v>132</v>
      </c>
      <c r="C56" s="12">
        <v>423</v>
      </c>
      <c r="D56" s="8">
        <v>3.08</v>
      </c>
      <c r="E56" s="12">
        <v>317</v>
      </c>
      <c r="F56" s="8">
        <v>3.83</v>
      </c>
      <c r="G56" s="12">
        <v>106</v>
      </c>
      <c r="H56" s="8">
        <v>1.95</v>
      </c>
      <c r="I56" s="12">
        <v>0</v>
      </c>
    </row>
    <row r="57" spans="2:9" ht="15" customHeight="1" x14ac:dyDescent="0.15">
      <c r="B57" t="s">
        <v>140</v>
      </c>
      <c r="C57" s="12">
        <v>364</v>
      </c>
      <c r="D57" s="8">
        <v>2.65</v>
      </c>
      <c r="E57" s="12">
        <v>354</v>
      </c>
      <c r="F57" s="8">
        <v>4.2699999999999996</v>
      </c>
      <c r="G57" s="12">
        <v>10</v>
      </c>
      <c r="H57" s="8">
        <v>0.18</v>
      </c>
      <c r="I57" s="12">
        <v>0</v>
      </c>
    </row>
    <row r="58" spans="2:9" ht="15" customHeight="1" x14ac:dyDescent="0.15">
      <c r="B58" t="s">
        <v>143</v>
      </c>
      <c r="C58" s="12">
        <v>351</v>
      </c>
      <c r="D58" s="8">
        <v>2.56</v>
      </c>
      <c r="E58" s="12">
        <v>293</v>
      </c>
      <c r="F58" s="8">
        <v>3.54</v>
      </c>
      <c r="G58" s="12">
        <v>55</v>
      </c>
      <c r="H58" s="8">
        <v>1.01</v>
      </c>
      <c r="I58" s="12">
        <v>3</v>
      </c>
    </row>
    <row r="59" spans="2:9" ht="15" customHeight="1" x14ac:dyDescent="0.15">
      <c r="B59" t="s">
        <v>125</v>
      </c>
      <c r="C59" s="12">
        <v>342</v>
      </c>
      <c r="D59" s="8">
        <v>2.4900000000000002</v>
      </c>
      <c r="E59" s="12">
        <v>91</v>
      </c>
      <c r="F59" s="8">
        <v>1.1000000000000001</v>
      </c>
      <c r="G59" s="12">
        <v>251</v>
      </c>
      <c r="H59" s="8">
        <v>4.62</v>
      </c>
      <c r="I59" s="12">
        <v>0</v>
      </c>
    </row>
    <row r="60" spans="2:9" ht="15" customHeight="1" x14ac:dyDescent="0.15">
      <c r="B60" t="s">
        <v>135</v>
      </c>
      <c r="C60" s="12">
        <v>303</v>
      </c>
      <c r="D60" s="8">
        <v>2.21</v>
      </c>
      <c r="E60" s="12">
        <v>274</v>
      </c>
      <c r="F60" s="8">
        <v>3.31</v>
      </c>
      <c r="G60" s="12">
        <v>29</v>
      </c>
      <c r="H60" s="8">
        <v>0.53</v>
      </c>
      <c r="I60" s="12">
        <v>0</v>
      </c>
    </row>
    <row r="61" spans="2:9" ht="15" customHeight="1" x14ac:dyDescent="0.15">
      <c r="B61" t="s">
        <v>136</v>
      </c>
      <c r="C61" s="12">
        <v>289</v>
      </c>
      <c r="D61" s="8">
        <v>2.1</v>
      </c>
      <c r="E61" s="12">
        <v>272</v>
      </c>
      <c r="F61" s="8">
        <v>3.28</v>
      </c>
      <c r="G61" s="12">
        <v>17</v>
      </c>
      <c r="H61" s="8">
        <v>0.31</v>
      </c>
      <c r="I61" s="12">
        <v>0</v>
      </c>
    </row>
    <row r="62" spans="2:9" ht="15" customHeight="1" x14ac:dyDescent="0.15">
      <c r="B62" t="s">
        <v>144</v>
      </c>
      <c r="C62" s="12">
        <v>257</v>
      </c>
      <c r="D62" s="8">
        <v>1.87</v>
      </c>
      <c r="E62" s="12">
        <v>239</v>
      </c>
      <c r="F62" s="8">
        <v>2.89</v>
      </c>
      <c r="G62" s="12">
        <v>17</v>
      </c>
      <c r="H62" s="8">
        <v>0.31</v>
      </c>
      <c r="I62" s="12">
        <v>1</v>
      </c>
    </row>
    <row r="63" spans="2:9" ht="15" customHeight="1" x14ac:dyDescent="0.15">
      <c r="B63" t="s">
        <v>130</v>
      </c>
      <c r="C63" s="12">
        <v>239</v>
      </c>
      <c r="D63" s="8">
        <v>1.74</v>
      </c>
      <c r="E63" s="12">
        <v>158</v>
      </c>
      <c r="F63" s="8">
        <v>1.91</v>
      </c>
      <c r="G63" s="12">
        <v>81</v>
      </c>
      <c r="H63" s="8">
        <v>1.49</v>
      </c>
      <c r="I63" s="12">
        <v>0</v>
      </c>
    </row>
    <row r="64" spans="2:9" ht="15" customHeight="1" x14ac:dyDescent="0.15">
      <c r="B64" t="s">
        <v>128</v>
      </c>
      <c r="C64" s="12">
        <v>227</v>
      </c>
      <c r="D64" s="8">
        <v>1.65</v>
      </c>
      <c r="E64" s="12">
        <v>114</v>
      </c>
      <c r="F64" s="8">
        <v>1.38</v>
      </c>
      <c r="G64" s="12">
        <v>113</v>
      </c>
      <c r="H64" s="8">
        <v>2.08</v>
      </c>
      <c r="I64" s="12">
        <v>0</v>
      </c>
    </row>
    <row r="65" spans="2:9" ht="15" customHeight="1" x14ac:dyDescent="0.15">
      <c r="B65" t="s">
        <v>142</v>
      </c>
      <c r="C65" s="12">
        <v>217</v>
      </c>
      <c r="D65" s="8">
        <v>1.58</v>
      </c>
      <c r="E65" s="12">
        <v>173</v>
      </c>
      <c r="F65" s="8">
        <v>2.09</v>
      </c>
      <c r="G65" s="12">
        <v>44</v>
      </c>
      <c r="H65" s="8">
        <v>0.81</v>
      </c>
      <c r="I65" s="12">
        <v>0</v>
      </c>
    </row>
    <row r="66" spans="2:9" ht="15" customHeight="1" x14ac:dyDescent="0.15">
      <c r="B66" t="s">
        <v>127</v>
      </c>
      <c r="C66" s="12">
        <v>210</v>
      </c>
      <c r="D66" s="8">
        <v>1.53</v>
      </c>
      <c r="E66" s="12">
        <v>77</v>
      </c>
      <c r="F66" s="8">
        <v>0.93</v>
      </c>
      <c r="G66" s="12">
        <v>133</v>
      </c>
      <c r="H66" s="8">
        <v>2.4500000000000002</v>
      </c>
      <c r="I66" s="12">
        <v>0</v>
      </c>
    </row>
    <row r="67" spans="2:9" ht="15" customHeight="1" x14ac:dyDescent="0.15">
      <c r="B67" t="s">
        <v>166</v>
      </c>
      <c r="C67" s="12">
        <v>208</v>
      </c>
      <c r="D67" s="8">
        <v>1.51</v>
      </c>
      <c r="E67" s="12">
        <v>169</v>
      </c>
      <c r="F67" s="8">
        <v>2.04</v>
      </c>
      <c r="G67" s="12">
        <v>39</v>
      </c>
      <c r="H67" s="8">
        <v>0.72</v>
      </c>
      <c r="I67" s="12">
        <v>0</v>
      </c>
    </row>
    <row r="68" spans="2:9" ht="15" customHeight="1" x14ac:dyDescent="0.15">
      <c r="B68" t="s">
        <v>129</v>
      </c>
      <c r="C68" s="12">
        <v>200</v>
      </c>
      <c r="D68" s="8">
        <v>1.46</v>
      </c>
      <c r="E68" s="12">
        <v>147</v>
      </c>
      <c r="F68" s="8">
        <v>1.77</v>
      </c>
      <c r="G68" s="12">
        <v>53</v>
      </c>
      <c r="H68" s="8">
        <v>0.98</v>
      </c>
      <c r="I68" s="12">
        <v>0</v>
      </c>
    </row>
    <row r="69" spans="2:9" ht="15" customHeight="1" x14ac:dyDescent="0.15">
      <c r="B69" t="s">
        <v>126</v>
      </c>
      <c r="C69" s="12">
        <v>197</v>
      </c>
      <c r="D69" s="8">
        <v>1.43</v>
      </c>
      <c r="E69" s="12">
        <v>46</v>
      </c>
      <c r="F69" s="8">
        <v>0.56000000000000005</v>
      </c>
      <c r="G69" s="12">
        <v>151</v>
      </c>
      <c r="H69" s="8">
        <v>2.78</v>
      </c>
      <c r="I69" s="12">
        <v>0</v>
      </c>
    </row>
    <row r="70" spans="2:9" ht="15" customHeight="1" x14ac:dyDescent="0.15">
      <c r="B70" t="s">
        <v>139</v>
      </c>
      <c r="C70" s="12">
        <v>188</v>
      </c>
      <c r="D70" s="8">
        <v>1.37</v>
      </c>
      <c r="E70" s="12">
        <v>74</v>
      </c>
      <c r="F70" s="8">
        <v>0.89</v>
      </c>
      <c r="G70" s="12">
        <v>114</v>
      </c>
      <c r="H70" s="8">
        <v>2.1</v>
      </c>
      <c r="I70" s="12">
        <v>0</v>
      </c>
    </row>
    <row r="71" spans="2:9" ht="15" customHeight="1" x14ac:dyDescent="0.15">
      <c r="B71" t="s">
        <v>131</v>
      </c>
      <c r="C71" s="12">
        <v>173</v>
      </c>
      <c r="D71" s="8">
        <v>1.26</v>
      </c>
      <c r="E71" s="12">
        <v>90</v>
      </c>
      <c r="F71" s="8">
        <v>1.0900000000000001</v>
      </c>
      <c r="G71" s="12">
        <v>83</v>
      </c>
      <c r="H71" s="8">
        <v>1.53</v>
      </c>
      <c r="I71" s="12">
        <v>0</v>
      </c>
    </row>
    <row r="73" spans="2:9" ht="15" customHeight="1" x14ac:dyDescent="0.15">
      <c r="B73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268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1073</v>
      </c>
      <c r="D6" s="8">
        <v>10.69</v>
      </c>
      <c r="E6" s="12">
        <v>224</v>
      </c>
      <c r="F6" s="8">
        <v>3.81</v>
      </c>
      <c r="G6" s="12">
        <v>849</v>
      </c>
      <c r="H6" s="8">
        <v>20.47</v>
      </c>
      <c r="I6" s="12">
        <v>0</v>
      </c>
    </row>
    <row r="7" spans="2:9" ht="15" customHeight="1" x14ac:dyDescent="0.15">
      <c r="B7" t="s">
        <v>53</v>
      </c>
      <c r="C7" s="12">
        <v>1082</v>
      </c>
      <c r="D7" s="8">
        <v>10.78</v>
      </c>
      <c r="E7" s="12">
        <v>414</v>
      </c>
      <c r="F7" s="8">
        <v>7.04</v>
      </c>
      <c r="G7" s="12">
        <v>667</v>
      </c>
      <c r="H7" s="8">
        <v>16.079999999999998</v>
      </c>
      <c r="I7" s="12">
        <v>1</v>
      </c>
    </row>
    <row r="8" spans="2:9" ht="15" customHeight="1" x14ac:dyDescent="0.15">
      <c r="B8" t="s">
        <v>54</v>
      </c>
      <c r="C8" s="12">
        <v>1</v>
      </c>
      <c r="D8" s="8">
        <v>0.01</v>
      </c>
      <c r="E8" s="12">
        <v>0</v>
      </c>
      <c r="F8" s="8">
        <v>0</v>
      </c>
      <c r="G8" s="12">
        <v>1</v>
      </c>
      <c r="H8" s="8">
        <v>0.02</v>
      </c>
      <c r="I8" s="12">
        <v>0</v>
      </c>
    </row>
    <row r="9" spans="2:9" ht="15" customHeight="1" x14ac:dyDescent="0.15">
      <c r="B9" t="s">
        <v>55</v>
      </c>
      <c r="C9" s="12">
        <v>53</v>
      </c>
      <c r="D9" s="8">
        <v>0.53</v>
      </c>
      <c r="E9" s="12">
        <v>0</v>
      </c>
      <c r="F9" s="8">
        <v>0</v>
      </c>
      <c r="G9" s="12">
        <v>53</v>
      </c>
      <c r="H9" s="8">
        <v>1.28</v>
      </c>
      <c r="I9" s="12">
        <v>0</v>
      </c>
    </row>
    <row r="10" spans="2:9" ht="15" customHeight="1" x14ac:dyDescent="0.15">
      <c r="B10" t="s">
        <v>56</v>
      </c>
      <c r="C10" s="12">
        <v>69</v>
      </c>
      <c r="D10" s="8">
        <v>0.69</v>
      </c>
      <c r="E10" s="12">
        <v>17</v>
      </c>
      <c r="F10" s="8">
        <v>0.28999999999999998</v>
      </c>
      <c r="G10" s="12">
        <v>52</v>
      </c>
      <c r="H10" s="8">
        <v>1.25</v>
      </c>
      <c r="I10" s="12">
        <v>0</v>
      </c>
    </row>
    <row r="11" spans="2:9" ht="15" customHeight="1" x14ac:dyDescent="0.15">
      <c r="B11" t="s">
        <v>57</v>
      </c>
      <c r="C11" s="12">
        <v>2335</v>
      </c>
      <c r="D11" s="8">
        <v>23.26</v>
      </c>
      <c r="E11" s="12">
        <v>1328</v>
      </c>
      <c r="F11" s="8">
        <v>22.59</v>
      </c>
      <c r="G11" s="12">
        <v>1007</v>
      </c>
      <c r="H11" s="8">
        <v>24.28</v>
      </c>
      <c r="I11" s="12">
        <v>0</v>
      </c>
    </row>
    <row r="12" spans="2:9" ht="15" customHeight="1" x14ac:dyDescent="0.15">
      <c r="B12" t="s">
        <v>58</v>
      </c>
      <c r="C12" s="12">
        <v>34</v>
      </c>
      <c r="D12" s="8">
        <v>0.34</v>
      </c>
      <c r="E12" s="12">
        <v>6</v>
      </c>
      <c r="F12" s="8">
        <v>0.1</v>
      </c>
      <c r="G12" s="12">
        <v>28</v>
      </c>
      <c r="H12" s="8">
        <v>0.68</v>
      </c>
      <c r="I12" s="12">
        <v>0</v>
      </c>
    </row>
    <row r="13" spans="2:9" ht="15" customHeight="1" x14ac:dyDescent="0.15">
      <c r="B13" t="s">
        <v>59</v>
      </c>
      <c r="C13" s="12">
        <v>985</v>
      </c>
      <c r="D13" s="8">
        <v>9.81</v>
      </c>
      <c r="E13" s="12">
        <v>326</v>
      </c>
      <c r="F13" s="8">
        <v>5.54</v>
      </c>
      <c r="G13" s="12">
        <v>659</v>
      </c>
      <c r="H13" s="8">
        <v>15.89</v>
      </c>
      <c r="I13" s="12">
        <v>0</v>
      </c>
    </row>
    <row r="14" spans="2:9" ht="15" customHeight="1" x14ac:dyDescent="0.15">
      <c r="B14" t="s">
        <v>60</v>
      </c>
      <c r="C14" s="12">
        <v>329</v>
      </c>
      <c r="D14" s="8">
        <v>3.28</v>
      </c>
      <c r="E14" s="12">
        <v>218</v>
      </c>
      <c r="F14" s="8">
        <v>3.71</v>
      </c>
      <c r="G14" s="12">
        <v>111</v>
      </c>
      <c r="H14" s="8">
        <v>2.68</v>
      </c>
      <c r="I14" s="12">
        <v>0</v>
      </c>
    </row>
    <row r="15" spans="2:9" ht="15" customHeight="1" x14ac:dyDescent="0.15">
      <c r="B15" t="s">
        <v>61</v>
      </c>
      <c r="C15" s="12">
        <v>1810</v>
      </c>
      <c r="D15" s="8">
        <v>18.03</v>
      </c>
      <c r="E15" s="12">
        <v>1641</v>
      </c>
      <c r="F15" s="8">
        <v>27.91</v>
      </c>
      <c r="G15" s="12">
        <v>168</v>
      </c>
      <c r="H15" s="8">
        <v>4.05</v>
      </c>
      <c r="I15" s="12">
        <v>1</v>
      </c>
    </row>
    <row r="16" spans="2:9" ht="15" customHeight="1" x14ac:dyDescent="0.15">
      <c r="B16" t="s">
        <v>62</v>
      </c>
      <c r="C16" s="12">
        <v>1220</v>
      </c>
      <c r="D16" s="8">
        <v>12.15</v>
      </c>
      <c r="E16" s="12">
        <v>993</v>
      </c>
      <c r="F16" s="8">
        <v>16.89</v>
      </c>
      <c r="G16" s="12">
        <v>225</v>
      </c>
      <c r="H16" s="8">
        <v>5.42</v>
      </c>
      <c r="I16" s="12">
        <v>2</v>
      </c>
    </row>
    <row r="17" spans="2:9" ht="15" customHeight="1" x14ac:dyDescent="0.15">
      <c r="B17" t="s">
        <v>63</v>
      </c>
      <c r="C17" s="12">
        <v>326</v>
      </c>
      <c r="D17" s="8">
        <v>3.25</v>
      </c>
      <c r="E17" s="12">
        <v>251</v>
      </c>
      <c r="F17" s="8">
        <v>4.2699999999999996</v>
      </c>
      <c r="G17" s="12">
        <v>73</v>
      </c>
      <c r="H17" s="8">
        <v>1.76</v>
      </c>
      <c r="I17" s="12">
        <v>2</v>
      </c>
    </row>
    <row r="18" spans="2:9" ht="15" customHeight="1" x14ac:dyDescent="0.15">
      <c r="B18" t="s">
        <v>64</v>
      </c>
      <c r="C18" s="12">
        <v>476</v>
      </c>
      <c r="D18" s="8">
        <v>4.74</v>
      </c>
      <c r="E18" s="12">
        <v>351</v>
      </c>
      <c r="F18" s="8">
        <v>5.97</v>
      </c>
      <c r="G18" s="12">
        <v>124</v>
      </c>
      <c r="H18" s="8">
        <v>2.99</v>
      </c>
      <c r="I18" s="12">
        <v>1</v>
      </c>
    </row>
    <row r="19" spans="2:9" ht="15" customHeight="1" x14ac:dyDescent="0.15">
      <c r="B19" t="s">
        <v>65</v>
      </c>
      <c r="C19" s="12">
        <v>245</v>
      </c>
      <c r="D19" s="8">
        <v>2.44</v>
      </c>
      <c r="E19" s="12">
        <v>111</v>
      </c>
      <c r="F19" s="8">
        <v>1.89</v>
      </c>
      <c r="G19" s="12">
        <v>131</v>
      </c>
      <c r="H19" s="8">
        <v>3.16</v>
      </c>
      <c r="I19" s="12">
        <v>3</v>
      </c>
    </row>
    <row r="20" spans="2:9" ht="15" customHeight="1" x14ac:dyDescent="0.15">
      <c r="B20" s="9" t="s">
        <v>215</v>
      </c>
      <c r="C20" s="12">
        <f>SUM(LTBL_28202[総数／事業所数])</f>
        <v>10038</v>
      </c>
      <c r="E20" s="12">
        <f>SUBTOTAL(109,LTBL_28202[個人／事業所数])</f>
        <v>5880</v>
      </c>
      <c r="G20" s="12">
        <f>SUBTOTAL(109,LTBL_28202[法人／事業所数])</f>
        <v>4148</v>
      </c>
      <c r="I20" s="12">
        <f>SUBTOTAL(109,LTBL_28202[法人以外の団体／事業所数])</f>
        <v>10</v>
      </c>
    </row>
    <row r="21" spans="2:9" ht="15" customHeight="1" x14ac:dyDescent="0.15">
      <c r="E21" s="11">
        <f>LTBL_28202[[#Totals],[個人／事業所数]]/LTBL_28202[[#Totals],[総数／事業所数]]</f>
        <v>0.58577405857740583</v>
      </c>
      <c r="G21" s="11">
        <f>LTBL_28202[[#Totals],[法人／事業所数]]/LTBL_28202[[#Totals],[総数／事業所数]]</f>
        <v>0.41322972703725841</v>
      </c>
      <c r="I21" s="11">
        <f>LTBL_28202[[#Totals],[法人以外の団体／事業所数]]/LTBL_28202[[#Totals],[総数／事業所数]]</f>
        <v>9.9621438533572431E-4</v>
      </c>
    </row>
    <row r="23" spans="2:9" ht="33" customHeight="1" x14ac:dyDescent="0.15">
      <c r="B23" t="s">
        <v>214</v>
      </c>
      <c r="C23" s="10" t="s">
        <v>67</v>
      </c>
      <c r="D23" s="10" t="s">
        <v>269</v>
      </c>
      <c r="E23" s="10" t="s">
        <v>69</v>
      </c>
      <c r="F23" s="10" t="s">
        <v>270</v>
      </c>
      <c r="G23" s="10" t="s">
        <v>71</v>
      </c>
      <c r="H23" s="10" t="s">
        <v>271</v>
      </c>
      <c r="I23" s="10" t="s">
        <v>73</v>
      </c>
    </row>
    <row r="24" spans="2:9" ht="15" customHeight="1" x14ac:dyDescent="0.15">
      <c r="B24" t="s">
        <v>217</v>
      </c>
      <c r="C24">
        <v>8</v>
      </c>
      <c r="D24" t="s">
        <v>216</v>
      </c>
      <c r="E24">
        <v>0</v>
      </c>
      <c r="F24" t="s">
        <v>218</v>
      </c>
      <c r="G24">
        <v>8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272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89</v>
      </c>
      <c r="C29" s="12">
        <v>1694</v>
      </c>
      <c r="D29" s="8">
        <v>16.88</v>
      </c>
      <c r="E29" s="12">
        <v>1597</v>
      </c>
      <c r="F29" s="8">
        <v>27.16</v>
      </c>
      <c r="G29" s="12">
        <v>96</v>
      </c>
      <c r="H29" s="8">
        <v>2.31</v>
      </c>
      <c r="I29" s="12">
        <v>1</v>
      </c>
    </row>
    <row r="30" spans="2:9" ht="15" customHeight="1" x14ac:dyDescent="0.15">
      <c r="B30" t="s">
        <v>90</v>
      </c>
      <c r="C30" s="12">
        <v>1035</v>
      </c>
      <c r="D30" s="8">
        <v>10.31</v>
      </c>
      <c r="E30" s="12">
        <v>882</v>
      </c>
      <c r="F30" s="8">
        <v>15</v>
      </c>
      <c r="G30" s="12">
        <v>153</v>
      </c>
      <c r="H30" s="8">
        <v>3.69</v>
      </c>
      <c r="I30" s="12">
        <v>0</v>
      </c>
    </row>
    <row r="31" spans="2:9" ht="15" customHeight="1" x14ac:dyDescent="0.15">
      <c r="B31" t="s">
        <v>86</v>
      </c>
      <c r="C31" s="12">
        <v>738</v>
      </c>
      <c r="D31" s="8">
        <v>7.35</v>
      </c>
      <c r="E31" s="12">
        <v>274</v>
      </c>
      <c r="F31" s="8">
        <v>4.66</v>
      </c>
      <c r="G31" s="12">
        <v>464</v>
      </c>
      <c r="H31" s="8">
        <v>11.19</v>
      </c>
      <c r="I31" s="12">
        <v>0</v>
      </c>
    </row>
    <row r="32" spans="2:9" ht="15" customHeight="1" x14ac:dyDescent="0.15">
      <c r="B32" t="s">
        <v>84</v>
      </c>
      <c r="C32" s="12">
        <v>638</v>
      </c>
      <c r="D32" s="8">
        <v>6.36</v>
      </c>
      <c r="E32" s="12">
        <v>424</v>
      </c>
      <c r="F32" s="8">
        <v>7.21</v>
      </c>
      <c r="G32" s="12">
        <v>214</v>
      </c>
      <c r="H32" s="8">
        <v>5.16</v>
      </c>
      <c r="I32" s="12">
        <v>0</v>
      </c>
    </row>
    <row r="33" spans="2:9" ht="15" customHeight="1" x14ac:dyDescent="0.15">
      <c r="B33" t="s">
        <v>82</v>
      </c>
      <c r="C33" s="12">
        <v>522</v>
      </c>
      <c r="D33" s="8">
        <v>5.2</v>
      </c>
      <c r="E33" s="12">
        <v>386</v>
      </c>
      <c r="F33" s="8">
        <v>6.56</v>
      </c>
      <c r="G33" s="12">
        <v>136</v>
      </c>
      <c r="H33" s="8">
        <v>3.28</v>
      </c>
      <c r="I33" s="12">
        <v>0</v>
      </c>
    </row>
    <row r="34" spans="2:9" ht="15" customHeight="1" x14ac:dyDescent="0.15">
      <c r="B34" t="s">
        <v>93</v>
      </c>
      <c r="C34" s="12">
        <v>387</v>
      </c>
      <c r="D34" s="8">
        <v>3.86</v>
      </c>
      <c r="E34" s="12">
        <v>351</v>
      </c>
      <c r="F34" s="8">
        <v>5.97</v>
      </c>
      <c r="G34" s="12">
        <v>36</v>
      </c>
      <c r="H34" s="8">
        <v>0.87</v>
      </c>
      <c r="I34" s="12">
        <v>0</v>
      </c>
    </row>
    <row r="35" spans="2:9" ht="15" customHeight="1" x14ac:dyDescent="0.15">
      <c r="B35" t="s">
        <v>74</v>
      </c>
      <c r="C35" s="12">
        <v>375</v>
      </c>
      <c r="D35" s="8">
        <v>3.74</v>
      </c>
      <c r="E35" s="12">
        <v>74</v>
      </c>
      <c r="F35" s="8">
        <v>1.26</v>
      </c>
      <c r="G35" s="12">
        <v>301</v>
      </c>
      <c r="H35" s="8">
        <v>7.26</v>
      </c>
      <c r="I35" s="12">
        <v>0</v>
      </c>
    </row>
    <row r="36" spans="2:9" ht="15" customHeight="1" x14ac:dyDescent="0.15">
      <c r="B36" t="s">
        <v>76</v>
      </c>
      <c r="C36" s="12">
        <v>367</v>
      </c>
      <c r="D36" s="8">
        <v>3.66</v>
      </c>
      <c r="E36" s="12">
        <v>57</v>
      </c>
      <c r="F36" s="8">
        <v>0.97</v>
      </c>
      <c r="G36" s="12">
        <v>310</v>
      </c>
      <c r="H36" s="8">
        <v>7.47</v>
      </c>
      <c r="I36" s="12">
        <v>0</v>
      </c>
    </row>
    <row r="37" spans="2:9" ht="15" customHeight="1" x14ac:dyDescent="0.15">
      <c r="B37" t="s">
        <v>81</v>
      </c>
      <c r="C37" s="12">
        <v>344</v>
      </c>
      <c r="D37" s="8">
        <v>3.43</v>
      </c>
      <c r="E37" s="12">
        <v>203</v>
      </c>
      <c r="F37" s="8">
        <v>3.45</v>
      </c>
      <c r="G37" s="12">
        <v>141</v>
      </c>
      <c r="H37" s="8">
        <v>3.4</v>
      </c>
      <c r="I37" s="12">
        <v>0</v>
      </c>
    </row>
    <row r="38" spans="2:9" ht="15" customHeight="1" x14ac:dyDescent="0.15">
      <c r="B38" t="s">
        <v>75</v>
      </c>
      <c r="C38" s="12">
        <v>331</v>
      </c>
      <c r="D38" s="8">
        <v>3.3</v>
      </c>
      <c r="E38" s="12">
        <v>93</v>
      </c>
      <c r="F38" s="8">
        <v>1.58</v>
      </c>
      <c r="G38" s="12">
        <v>238</v>
      </c>
      <c r="H38" s="8">
        <v>5.74</v>
      </c>
      <c r="I38" s="12">
        <v>0</v>
      </c>
    </row>
    <row r="39" spans="2:9" ht="15" customHeight="1" x14ac:dyDescent="0.15">
      <c r="B39" t="s">
        <v>92</v>
      </c>
      <c r="C39" s="12">
        <v>326</v>
      </c>
      <c r="D39" s="8">
        <v>3.25</v>
      </c>
      <c r="E39" s="12">
        <v>251</v>
      </c>
      <c r="F39" s="8">
        <v>4.2699999999999996</v>
      </c>
      <c r="G39" s="12">
        <v>73</v>
      </c>
      <c r="H39" s="8">
        <v>1.76</v>
      </c>
      <c r="I39" s="12">
        <v>2</v>
      </c>
    </row>
    <row r="40" spans="2:9" ht="15" customHeight="1" x14ac:dyDescent="0.15">
      <c r="B40" t="s">
        <v>83</v>
      </c>
      <c r="C40" s="12">
        <v>295</v>
      </c>
      <c r="D40" s="8">
        <v>2.94</v>
      </c>
      <c r="E40" s="12">
        <v>192</v>
      </c>
      <c r="F40" s="8">
        <v>3.27</v>
      </c>
      <c r="G40" s="12">
        <v>103</v>
      </c>
      <c r="H40" s="8">
        <v>2.48</v>
      </c>
      <c r="I40" s="12">
        <v>0</v>
      </c>
    </row>
    <row r="41" spans="2:9" ht="15" customHeight="1" x14ac:dyDescent="0.15">
      <c r="B41" t="s">
        <v>77</v>
      </c>
      <c r="C41" s="12">
        <v>233</v>
      </c>
      <c r="D41" s="8">
        <v>2.3199999999999998</v>
      </c>
      <c r="E41" s="12">
        <v>99</v>
      </c>
      <c r="F41" s="8">
        <v>1.68</v>
      </c>
      <c r="G41" s="12">
        <v>134</v>
      </c>
      <c r="H41" s="8">
        <v>3.23</v>
      </c>
      <c r="I41" s="12">
        <v>0</v>
      </c>
    </row>
    <row r="42" spans="2:9" ht="15" customHeight="1" x14ac:dyDescent="0.15">
      <c r="B42" t="s">
        <v>85</v>
      </c>
      <c r="C42" s="12">
        <v>216</v>
      </c>
      <c r="D42" s="8">
        <v>2.15</v>
      </c>
      <c r="E42" s="12">
        <v>49</v>
      </c>
      <c r="F42" s="8">
        <v>0.83</v>
      </c>
      <c r="G42" s="12">
        <v>167</v>
      </c>
      <c r="H42" s="8">
        <v>4.03</v>
      </c>
      <c r="I42" s="12">
        <v>0</v>
      </c>
    </row>
    <row r="43" spans="2:9" ht="15" customHeight="1" x14ac:dyDescent="0.15">
      <c r="B43" t="s">
        <v>87</v>
      </c>
      <c r="C43" s="12">
        <v>213</v>
      </c>
      <c r="D43" s="8">
        <v>2.12</v>
      </c>
      <c r="E43" s="12">
        <v>167</v>
      </c>
      <c r="F43" s="8">
        <v>2.84</v>
      </c>
      <c r="G43" s="12">
        <v>46</v>
      </c>
      <c r="H43" s="8">
        <v>1.1100000000000001</v>
      </c>
      <c r="I43" s="12">
        <v>0</v>
      </c>
    </row>
    <row r="44" spans="2:9" ht="15" customHeight="1" x14ac:dyDescent="0.15">
      <c r="B44" t="s">
        <v>101</v>
      </c>
      <c r="C44" s="12">
        <v>204</v>
      </c>
      <c r="D44" s="8">
        <v>2.0299999999999998</v>
      </c>
      <c r="E44" s="12">
        <v>78</v>
      </c>
      <c r="F44" s="8">
        <v>1.33</v>
      </c>
      <c r="G44" s="12">
        <v>126</v>
      </c>
      <c r="H44" s="8">
        <v>3.04</v>
      </c>
      <c r="I44" s="12">
        <v>0</v>
      </c>
    </row>
    <row r="45" spans="2:9" ht="15" customHeight="1" x14ac:dyDescent="0.15">
      <c r="B45" t="s">
        <v>78</v>
      </c>
      <c r="C45" s="12">
        <v>150</v>
      </c>
      <c r="D45" s="8">
        <v>1.49</v>
      </c>
      <c r="E45" s="12">
        <v>32</v>
      </c>
      <c r="F45" s="8">
        <v>0.54</v>
      </c>
      <c r="G45" s="12">
        <v>118</v>
      </c>
      <c r="H45" s="8">
        <v>2.84</v>
      </c>
      <c r="I45" s="12">
        <v>0</v>
      </c>
    </row>
    <row r="46" spans="2:9" ht="15" customHeight="1" x14ac:dyDescent="0.15">
      <c r="B46" t="s">
        <v>79</v>
      </c>
      <c r="C46" s="12">
        <v>130</v>
      </c>
      <c r="D46" s="8">
        <v>1.3</v>
      </c>
      <c r="E46" s="12">
        <v>21</v>
      </c>
      <c r="F46" s="8">
        <v>0.36</v>
      </c>
      <c r="G46" s="12">
        <v>109</v>
      </c>
      <c r="H46" s="8">
        <v>2.63</v>
      </c>
      <c r="I46" s="12">
        <v>0</v>
      </c>
    </row>
    <row r="47" spans="2:9" ht="15" customHeight="1" x14ac:dyDescent="0.15">
      <c r="B47" t="s">
        <v>91</v>
      </c>
      <c r="C47" s="12">
        <v>116</v>
      </c>
      <c r="D47" s="8">
        <v>1.1599999999999999</v>
      </c>
      <c r="E47" s="12">
        <v>65</v>
      </c>
      <c r="F47" s="8">
        <v>1.1100000000000001</v>
      </c>
      <c r="G47" s="12">
        <v>51</v>
      </c>
      <c r="H47" s="8">
        <v>1.23</v>
      </c>
      <c r="I47" s="12">
        <v>0</v>
      </c>
    </row>
    <row r="48" spans="2:9" ht="15" customHeight="1" x14ac:dyDescent="0.15">
      <c r="B48" t="s">
        <v>80</v>
      </c>
      <c r="C48" s="12">
        <v>107</v>
      </c>
      <c r="D48" s="8">
        <v>1.07</v>
      </c>
      <c r="E48" s="12">
        <v>23</v>
      </c>
      <c r="F48" s="8">
        <v>0.39</v>
      </c>
      <c r="G48" s="12">
        <v>84</v>
      </c>
      <c r="H48" s="8">
        <v>2.0299999999999998</v>
      </c>
      <c r="I48" s="12">
        <v>0</v>
      </c>
    </row>
    <row r="51" spans="2:9" ht="33" customHeight="1" x14ac:dyDescent="0.15">
      <c r="B51" t="s">
        <v>230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141</v>
      </c>
      <c r="C52" s="12">
        <v>492</v>
      </c>
      <c r="D52" s="8">
        <v>4.9000000000000004</v>
      </c>
      <c r="E52" s="12">
        <v>439</v>
      </c>
      <c r="F52" s="8">
        <v>7.47</v>
      </c>
      <c r="G52" s="12">
        <v>53</v>
      </c>
      <c r="H52" s="8">
        <v>1.28</v>
      </c>
      <c r="I52" s="12">
        <v>0</v>
      </c>
    </row>
    <row r="53" spans="2:9" ht="15" customHeight="1" x14ac:dyDescent="0.15">
      <c r="B53" t="s">
        <v>136</v>
      </c>
      <c r="C53" s="12">
        <v>411</v>
      </c>
      <c r="D53" s="8">
        <v>4.09</v>
      </c>
      <c r="E53" s="12">
        <v>395</v>
      </c>
      <c r="F53" s="8">
        <v>6.72</v>
      </c>
      <c r="G53" s="12">
        <v>16</v>
      </c>
      <c r="H53" s="8">
        <v>0.39</v>
      </c>
      <c r="I53" s="12">
        <v>0</v>
      </c>
    </row>
    <row r="54" spans="2:9" ht="15" customHeight="1" x14ac:dyDescent="0.15">
      <c r="B54" t="s">
        <v>134</v>
      </c>
      <c r="C54" s="12">
        <v>410</v>
      </c>
      <c r="D54" s="8">
        <v>4.08</v>
      </c>
      <c r="E54" s="12">
        <v>191</v>
      </c>
      <c r="F54" s="8">
        <v>3.25</v>
      </c>
      <c r="G54" s="12">
        <v>219</v>
      </c>
      <c r="H54" s="8">
        <v>5.28</v>
      </c>
      <c r="I54" s="12">
        <v>0</v>
      </c>
    </row>
    <row r="55" spans="2:9" ht="15" customHeight="1" x14ac:dyDescent="0.15">
      <c r="B55" t="s">
        <v>138</v>
      </c>
      <c r="C55" s="12">
        <v>376</v>
      </c>
      <c r="D55" s="8">
        <v>3.75</v>
      </c>
      <c r="E55" s="12">
        <v>361</v>
      </c>
      <c r="F55" s="8">
        <v>6.14</v>
      </c>
      <c r="G55" s="12">
        <v>14</v>
      </c>
      <c r="H55" s="8">
        <v>0.34</v>
      </c>
      <c r="I55" s="12">
        <v>1</v>
      </c>
    </row>
    <row r="56" spans="2:9" ht="15" customHeight="1" x14ac:dyDescent="0.15">
      <c r="B56" t="s">
        <v>144</v>
      </c>
      <c r="C56" s="12">
        <v>292</v>
      </c>
      <c r="D56" s="8">
        <v>2.91</v>
      </c>
      <c r="E56" s="12">
        <v>265</v>
      </c>
      <c r="F56" s="8">
        <v>4.51</v>
      </c>
      <c r="G56" s="12">
        <v>27</v>
      </c>
      <c r="H56" s="8">
        <v>0.65</v>
      </c>
      <c r="I56" s="12">
        <v>0</v>
      </c>
    </row>
    <row r="57" spans="2:9" ht="15" customHeight="1" x14ac:dyDescent="0.15">
      <c r="B57" t="s">
        <v>137</v>
      </c>
      <c r="C57" s="12">
        <v>277</v>
      </c>
      <c r="D57" s="8">
        <v>2.76</v>
      </c>
      <c r="E57" s="12">
        <v>270</v>
      </c>
      <c r="F57" s="8">
        <v>4.59</v>
      </c>
      <c r="G57" s="12">
        <v>7</v>
      </c>
      <c r="H57" s="8">
        <v>0.17</v>
      </c>
      <c r="I57" s="12">
        <v>0</v>
      </c>
    </row>
    <row r="58" spans="2:9" ht="15" customHeight="1" x14ac:dyDescent="0.15">
      <c r="B58" t="s">
        <v>140</v>
      </c>
      <c r="C58" s="12">
        <v>275</v>
      </c>
      <c r="D58" s="8">
        <v>2.74</v>
      </c>
      <c r="E58" s="12">
        <v>267</v>
      </c>
      <c r="F58" s="8">
        <v>4.54</v>
      </c>
      <c r="G58" s="12">
        <v>8</v>
      </c>
      <c r="H58" s="8">
        <v>0.19</v>
      </c>
      <c r="I58" s="12">
        <v>0</v>
      </c>
    </row>
    <row r="59" spans="2:9" ht="15" customHeight="1" x14ac:dyDescent="0.15">
      <c r="B59" t="s">
        <v>132</v>
      </c>
      <c r="C59" s="12">
        <v>270</v>
      </c>
      <c r="D59" s="8">
        <v>2.69</v>
      </c>
      <c r="E59" s="12">
        <v>220</v>
      </c>
      <c r="F59" s="8">
        <v>3.74</v>
      </c>
      <c r="G59" s="12">
        <v>50</v>
      </c>
      <c r="H59" s="8">
        <v>1.21</v>
      </c>
      <c r="I59" s="12">
        <v>0</v>
      </c>
    </row>
    <row r="60" spans="2:9" ht="15" customHeight="1" x14ac:dyDescent="0.15">
      <c r="B60" t="s">
        <v>135</v>
      </c>
      <c r="C60" s="12">
        <v>259</v>
      </c>
      <c r="D60" s="8">
        <v>2.58</v>
      </c>
      <c r="E60" s="12">
        <v>232</v>
      </c>
      <c r="F60" s="8">
        <v>3.95</v>
      </c>
      <c r="G60" s="12">
        <v>27</v>
      </c>
      <c r="H60" s="8">
        <v>0.65</v>
      </c>
      <c r="I60" s="12">
        <v>0</v>
      </c>
    </row>
    <row r="61" spans="2:9" ht="15" customHeight="1" x14ac:dyDescent="0.15">
      <c r="B61" t="s">
        <v>143</v>
      </c>
      <c r="C61" s="12">
        <v>229</v>
      </c>
      <c r="D61" s="8">
        <v>2.2799999999999998</v>
      </c>
      <c r="E61" s="12">
        <v>181</v>
      </c>
      <c r="F61" s="8">
        <v>3.08</v>
      </c>
      <c r="G61" s="12">
        <v>46</v>
      </c>
      <c r="H61" s="8">
        <v>1.1100000000000001</v>
      </c>
      <c r="I61" s="12">
        <v>2</v>
      </c>
    </row>
    <row r="62" spans="2:9" ht="15" customHeight="1" x14ac:dyDescent="0.15">
      <c r="B62" t="s">
        <v>129</v>
      </c>
      <c r="C62" s="12">
        <v>204</v>
      </c>
      <c r="D62" s="8">
        <v>2.0299999999999998</v>
      </c>
      <c r="E62" s="12">
        <v>143</v>
      </c>
      <c r="F62" s="8">
        <v>2.4300000000000002</v>
      </c>
      <c r="G62" s="12">
        <v>61</v>
      </c>
      <c r="H62" s="8">
        <v>1.47</v>
      </c>
      <c r="I62" s="12">
        <v>0</v>
      </c>
    </row>
    <row r="63" spans="2:9" ht="15" customHeight="1" x14ac:dyDescent="0.15">
      <c r="B63" t="s">
        <v>151</v>
      </c>
      <c r="C63" s="12">
        <v>179</v>
      </c>
      <c r="D63" s="8">
        <v>1.78</v>
      </c>
      <c r="E63" s="12">
        <v>174</v>
      </c>
      <c r="F63" s="8">
        <v>2.96</v>
      </c>
      <c r="G63" s="12">
        <v>5</v>
      </c>
      <c r="H63" s="8">
        <v>0.12</v>
      </c>
      <c r="I63" s="12">
        <v>0</v>
      </c>
    </row>
    <row r="64" spans="2:9" ht="15" customHeight="1" x14ac:dyDescent="0.15">
      <c r="B64" t="s">
        <v>128</v>
      </c>
      <c r="C64" s="12">
        <v>170</v>
      </c>
      <c r="D64" s="8">
        <v>1.69</v>
      </c>
      <c r="E64" s="12">
        <v>99</v>
      </c>
      <c r="F64" s="8">
        <v>1.68</v>
      </c>
      <c r="G64" s="12">
        <v>71</v>
      </c>
      <c r="H64" s="8">
        <v>1.71</v>
      </c>
      <c r="I64" s="12">
        <v>0</v>
      </c>
    </row>
    <row r="65" spans="2:9" ht="15" customHeight="1" x14ac:dyDescent="0.15">
      <c r="B65" t="s">
        <v>149</v>
      </c>
      <c r="C65" s="12">
        <v>158</v>
      </c>
      <c r="D65" s="8">
        <v>1.57</v>
      </c>
      <c r="E65" s="12">
        <v>18</v>
      </c>
      <c r="F65" s="8">
        <v>0.31</v>
      </c>
      <c r="G65" s="12">
        <v>140</v>
      </c>
      <c r="H65" s="8">
        <v>3.38</v>
      </c>
      <c r="I65" s="12">
        <v>0</v>
      </c>
    </row>
    <row r="66" spans="2:9" ht="15" customHeight="1" x14ac:dyDescent="0.15">
      <c r="B66" t="s">
        <v>133</v>
      </c>
      <c r="C66" s="12">
        <v>157</v>
      </c>
      <c r="D66" s="8">
        <v>1.56</v>
      </c>
      <c r="E66" s="12">
        <v>42</v>
      </c>
      <c r="F66" s="8">
        <v>0.71</v>
      </c>
      <c r="G66" s="12">
        <v>115</v>
      </c>
      <c r="H66" s="8">
        <v>2.77</v>
      </c>
      <c r="I66" s="12">
        <v>0</v>
      </c>
    </row>
    <row r="67" spans="2:9" ht="15" customHeight="1" x14ac:dyDescent="0.15">
      <c r="B67" t="s">
        <v>139</v>
      </c>
      <c r="C67" s="12">
        <v>157</v>
      </c>
      <c r="D67" s="8">
        <v>1.56</v>
      </c>
      <c r="E67" s="12">
        <v>100</v>
      </c>
      <c r="F67" s="8">
        <v>1.7</v>
      </c>
      <c r="G67" s="12">
        <v>57</v>
      </c>
      <c r="H67" s="8">
        <v>1.37</v>
      </c>
      <c r="I67" s="12">
        <v>0</v>
      </c>
    </row>
    <row r="68" spans="2:9" ht="15" customHeight="1" x14ac:dyDescent="0.15">
      <c r="B68" t="s">
        <v>160</v>
      </c>
      <c r="C68" s="12">
        <v>139</v>
      </c>
      <c r="D68" s="8">
        <v>1.38</v>
      </c>
      <c r="E68" s="12">
        <v>23</v>
      </c>
      <c r="F68" s="8">
        <v>0.39</v>
      </c>
      <c r="G68" s="12">
        <v>116</v>
      </c>
      <c r="H68" s="8">
        <v>2.8</v>
      </c>
      <c r="I68" s="12">
        <v>0</v>
      </c>
    </row>
    <row r="69" spans="2:9" ht="15" customHeight="1" x14ac:dyDescent="0.15">
      <c r="B69" t="s">
        <v>127</v>
      </c>
      <c r="C69" s="12">
        <v>138</v>
      </c>
      <c r="D69" s="8">
        <v>1.37</v>
      </c>
      <c r="E69" s="12">
        <v>28</v>
      </c>
      <c r="F69" s="8">
        <v>0.48</v>
      </c>
      <c r="G69" s="12">
        <v>110</v>
      </c>
      <c r="H69" s="8">
        <v>2.65</v>
      </c>
      <c r="I69" s="12">
        <v>0</v>
      </c>
    </row>
    <row r="70" spans="2:9" ht="15" customHeight="1" x14ac:dyDescent="0.15">
      <c r="B70" t="s">
        <v>155</v>
      </c>
      <c r="C70" s="12">
        <v>131</v>
      </c>
      <c r="D70" s="8">
        <v>1.31</v>
      </c>
      <c r="E70" s="12">
        <v>102</v>
      </c>
      <c r="F70" s="8">
        <v>1.73</v>
      </c>
      <c r="G70" s="12">
        <v>29</v>
      </c>
      <c r="H70" s="8">
        <v>0.7</v>
      </c>
      <c r="I70" s="12">
        <v>0</v>
      </c>
    </row>
    <row r="71" spans="2:9" ht="15" customHeight="1" x14ac:dyDescent="0.15">
      <c r="B71" t="s">
        <v>130</v>
      </c>
      <c r="C71" s="12">
        <v>131</v>
      </c>
      <c r="D71" s="8">
        <v>1.31</v>
      </c>
      <c r="E71" s="12">
        <v>84</v>
      </c>
      <c r="F71" s="8">
        <v>1.43</v>
      </c>
      <c r="G71" s="12">
        <v>47</v>
      </c>
      <c r="H71" s="8">
        <v>1.1299999999999999</v>
      </c>
      <c r="I71" s="12">
        <v>0</v>
      </c>
    </row>
    <row r="73" spans="2:9" ht="15" customHeight="1" x14ac:dyDescent="0.15">
      <c r="B73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273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426</v>
      </c>
      <c r="D6" s="8">
        <v>8.6999999999999993</v>
      </c>
      <c r="E6" s="12">
        <v>127</v>
      </c>
      <c r="F6" s="8">
        <v>4.34</v>
      </c>
      <c r="G6" s="12">
        <v>299</v>
      </c>
      <c r="H6" s="8">
        <v>15.22</v>
      </c>
      <c r="I6" s="12">
        <v>0</v>
      </c>
    </row>
    <row r="7" spans="2:9" ht="15" customHeight="1" x14ac:dyDescent="0.15">
      <c r="B7" t="s">
        <v>53</v>
      </c>
      <c r="C7" s="12">
        <v>339</v>
      </c>
      <c r="D7" s="8">
        <v>6.92</v>
      </c>
      <c r="E7" s="12">
        <v>134</v>
      </c>
      <c r="F7" s="8">
        <v>4.58</v>
      </c>
      <c r="G7" s="12">
        <v>205</v>
      </c>
      <c r="H7" s="8">
        <v>10.44</v>
      </c>
      <c r="I7" s="12">
        <v>0</v>
      </c>
    </row>
    <row r="8" spans="2:9" ht="15" customHeight="1" x14ac:dyDescent="0.15">
      <c r="B8" t="s">
        <v>54</v>
      </c>
      <c r="C8" s="12">
        <v>2</v>
      </c>
      <c r="D8" s="8">
        <v>0.04</v>
      </c>
      <c r="E8" s="12">
        <v>0</v>
      </c>
      <c r="F8" s="8">
        <v>0</v>
      </c>
      <c r="G8" s="12">
        <v>2</v>
      </c>
      <c r="H8" s="8">
        <v>0.1</v>
      </c>
      <c r="I8" s="12">
        <v>0</v>
      </c>
    </row>
    <row r="9" spans="2:9" ht="15" customHeight="1" x14ac:dyDescent="0.15">
      <c r="B9" t="s">
        <v>55</v>
      </c>
      <c r="C9" s="12">
        <v>24</v>
      </c>
      <c r="D9" s="8">
        <v>0.49</v>
      </c>
      <c r="E9" s="12">
        <v>1</v>
      </c>
      <c r="F9" s="8">
        <v>0.03</v>
      </c>
      <c r="G9" s="12">
        <v>23</v>
      </c>
      <c r="H9" s="8">
        <v>1.17</v>
      </c>
      <c r="I9" s="12">
        <v>0</v>
      </c>
    </row>
    <row r="10" spans="2:9" ht="15" customHeight="1" x14ac:dyDescent="0.15">
      <c r="B10" t="s">
        <v>56</v>
      </c>
      <c r="C10" s="12">
        <v>38</v>
      </c>
      <c r="D10" s="8">
        <v>0.78</v>
      </c>
      <c r="E10" s="12">
        <v>7</v>
      </c>
      <c r="F10" s="8">
        <v>0.24</v>
      </c>
      <c r="G10" s="12">
        <v>31</v>
      </c>
      <c r="H10" s="8">
        <v>1.58</v>
      </c>
      <c r="I10" s="12">
        <v>0</v>
      </c>
    </row>
    <row r="11" spans="2:9" ht="15" customHeight="1" x14ac:dyDescent="0.15">
      <c r="B11" t="s">
        <v>57</v>
      </c>
      <c r="C11" s="12">
        <v>1276</v>
      </c>
      <c r="D11" s="8">
        <v>26.05</v>
      </c>
      <c r="E11" s="12">
        <v>685</v>
      </c>
      <c r="F11" s="8">
        <v>23.41</v>
      </c>
      <c r="G11" s="12">
        <v>590</v>
      </c>
      <c r="H11" s="8">
        <v>30.04</v>
      </c>
      <c r="I11" s="12">
        <v>1</v>
      </c>
    </row>
    <row r="12" spans="2:9" ht="15" customHeight="1" x14ac:dyDescent="0.15">
      <c r="B12" t="s">
        <v>58</v>
      </c>
      <c r="C12" s="12">
        <v>29</v>
      </c>
      <c r="D12" s="8">
        <v>0.59</v>
      </c>
      <c r="E12" s="12">
        <v>4</v>
      </c>
      <c r="F12" s="8">
        <v>0.14000000000000001</v>
      </c>
      <c r="G12" s="12">
        <v>25</v>
      </c>
      <c r="H12" s="8">
        <v>1.27</v>
      </c>
      <c r="I12" s="12">
        <v>0</v>
      </c>
    </row>
    <row r="13" spans="2:9" ht="15" customHeight="1" x14ac:dyDescent="0.15">
      <c r="B13" t="s">
        <v>59</v>
      </c>
      <c r="C13" s="12">
        <v>389</v>
      </c>
      <c r="D13" s="8">
        <v>7.94</v>
      </c>
      <c r="E13" s="12">
        <v>114</v>
      </c>
      <c r="F13" s="8">
        <v>3.9</v>
      </c>
      <c r="G13" s="12">
        <v>275</v>
      </c>
      <c r="H13" s="8">
        <v>14</v>
      </c>
      <c r="I13" s="12">
        <v>0</v>
      </c>
    </row>
    <row r="14" spans="2:9" ht="15" customHeight="1" x14ac:dyDescent="0.15">
      <c r="B14" t="s">
        <v>60</v>
      </c>
      <c r="C14" s="12">
        <v>222</v>
      </c>
      <c r="D14" s="8">
        <v>4.53</v>
      </c>
      <c r="E14" s="12">
        <v>145</v>
      </c>
      <c r="F14" s="8">
        <v>4.96</v>
      </c>
      <c r="G14" s="12">
        <v>77</v>
      </c>
      <c r="H14" s="8">
        <v>3.92</v>
      </c>
      <c r="I14" s="12">
        <v>0</v>
      </c>
    </row>
    <row r="15" spans="2:9" ht="15" customHeight="1" x14ac:dyDescent="0.15">
      <c r="B15" t="s">
        <v>61</v>
      </c>
      <c r="C15" s="12">
        <v>796</v>
      </c>
      <c r="D15" s="8">
        <v>16.25</v>
      </c>
      <c r="E15" s="12">
        <v>707</v>
      </c>
      <c r="F15" s="8">
        <v>24.16</v>
      </c>
      <c r="G15" s="12">
        <v>89</v>
      </c>
      <c r="H15" s="8">
        <v>4.53</v>
      </c>
      <c r="I15" s="12">
        <v>0</v>
      </c>
    </row>
    <row r="16" spans="2:9" ht="15" customHeight="1" x14ac:dyDescent="0.15">
      <c r="B16" t="s">
        <v>62</v>
      </c>
      <c r="C16" s="12">
        <v>719</v>
      </c>
      <c r="D16" s="8">
        <v>14.68</v>
      </c>
      <c r="E16" s="12">
        <v>569</v>
      </c>
      <c r="F16" s="8">
        <v>19.45</v>
      </c>
      <c r="G16" s="12">
        <v>150</v>
      </c>
      <c r="H16" s="8">
        <v>7.64</v>
      </c>
      <c r="I16" s="12">
        <v>0</v>
      </c>
    </row>
    <row r="17" spans="2:9" ht="15" customHeight="1" x14ac:dyDescent="0.15">
      <c r="B17" t="s">
        <v>63</v>
      </c>
      <c r="C17" s="12">
        <v>242</v>
      </c>
      <c r="D17" s="8">
        <v>4.9400000000000004</v>
      </c>
      <c r="E17" s="12">
        <v>196</v>
      </c>
      <c r="F17" s="8">
        <v>6.7</v>
      </c>
      <c r="G17" s="12">
        <v>45</v>
      </c>
      <c r="H17" s="8">
        <v>2.29</v>
      </c>
      <c r="I17" s="12">
        <v>1</v>
      </c>
    </row>
    <row r="18" spans="2:9" ht="15" customHeight="1" x14ac:dyDescent="0.15">
      <c r="B18" t="s">
        <v>64</v>
      </c>
      <c r="C18" s="12">
        <v>266</v>
      </c>
      <c r="D18" s="8">
        <v>5.43</v>
      </c>
      <c r="E18" s="12">
        <v>183</v>
      </c>
      <c r="F18" s="8">
        <v>6.25</v>
      </c>
      <c r="G18" s="12">
        <v>81</v>
      </c>
      <c r="H18" s="8">
        <v>4.12</v>
      </c>
      <c r="I18" s="12">
        <v>2</v>
      </c>
    </row>
    <row r="19" spans="2:9" ht="15" customHeight="1" x14ac:dyDescent="0.15">
      <c r="B19" t="s">
        <v>65</v>
      </c>
      <c r="C19" s="12">
        <v>130</v>
      </c>
      <c r="D19" s="8">
        <v>2.65</v>
      </c>
      <c r="E19" s="12">
        <v>54</v>
      </c>
      <c r="F19" s="8">
        <v>1.85</v>
      </c>
      <c r="G19" s="12">
        <v>72</v>
      </c>
      <c r="H19" s="8">
        <v>3.67</v>
      </c>
      <c r="I19" s="12">
        <v>4</v>
      </c>
    </row>
    <row r="20" spans="2:9" ht="15" customHeight="1" x14ac:dyDescent="0.15">
      <c r="B20" s="9" t="s">
        <v>215</v>
      </c>
      <c r="C20" s="12">
        <f>SUM(LTBL_28203[総数／事業所数])</f>
        <v>4898</v>
      </c>
      <c r="E20" s="12">
        <f>SUBTOTAL(109,LTBL_28203[個人／事業所数])</f>
        <v>2926</v>
      </c>
      <c r="G20" s="12">
        <f>SUBTOTAL(109,LTBL_28203[法人／事業所数])</f>
        <v>1964</v>
      </c>
      <c r="I20" s="12">
        <f>SUBTOTAL(109,LTBL_28203[法人以外の団体／事業所数])</f>
        <v>8</v>
      </c>
    </row>
    <row r="21" spans="2:9" ht="15" customHeight="1" x14ac:dyDescent="0.15">
      <c r="E21" s="11">
        <f>LTBL_28203[[#Totals],[個人／事業所数]]/LTBL_28203[[#Totals],[総数／事業所数]]</f>
        <v>0.59738668844426301</v>
      </c>
      <c r="G21" s="11">
        <f>LTBL_28203[[#Totals],[法人／事業所数]]/LTBL_28203[[#Totals],[総数／事業所数]]</f>
        <v>0.40097999183340138</v>
      </c>
      <c r="I21" s="11">
        <f>LTBL_28203[[#Totals],[法人以外の団体／事業所数]]/LTBL_28203[[#Totals],[総数／事業所数]]</f>
        <v>1.6333197223356473E-3</v>
      </c>
    </row>
    <row r="23" spans="2:9" ht="33" customHeight="1" x14ac:dyDescent="0.15">
      <c r="B23" t="s">
        <v>214</v>
      </c>
      <c r="C23" s="10" t="s">
        <v>67</v>
      </c>
      <c r="D23" s="10" t="s">
        <v>221</v>
      </c>
      <c r="E23" s="10" t="s">
        <v>69</v>
      </c>
      <c r="F23" s="10" t="s">
        <v>247</v>
      </c>
      <c r="G23" s="10" t="s">
        <v>71</v>
      </c>
      <c r="H23" s="10" t="s">
        <v>274</v>
      </c>
      <c r="I23" s="10" t="s">
        <v>73</v>
      </c>
    </row>
    <row r="24" spans="2:9" ht="15" customHeight="1" x14ac:dyDescent="0.15">
      <c r="B24" t="s">
        <v>217</v>
      </c>
      <c r="C24">
        <v>5</v>
      </c>
      <c r="D24" t="s">
        <v>216</v>
      </c>
      <c r="E24">
        <v>0</v>
      </c>
      <c r="F24" t="s">
        <v>218</v>
      </c>
      <c r="G24">
        <v>5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2</v>
      </c>
      <c r="D25" t="s">
        <v>216</v>
      </c>
      <c r="E25">
        <v>0</v>
      </c>
      <c r="F25" t="s">
        <v>218</v>
      </c>
      <c r="G25">
        <v>2</v>
      </c>
      <c r="H25" t="s">
        <v>219</v>
      </c>
      <c r="I25">
        <v>0</v>
      </c>
    </row>
    <row r="28" spans="2:9" ht="33" customHeight="1" x14ac:dyDescent="0.15">
      <c r="B28" t="s">
        <v>275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89</v>
      </c>
      <c r="C29" s="12">
        <v>740</v>
      </c>
      <c r="D29" s="8">
        <v>15.11</v>
      </c>
      <c r="E29" s="12">
        <v>687</v>
      </c>
      <c r="F29" s="8">
        <v>23.48</v>
      </c>
      <c r="G29" s="12">
        <v>53</v>
      </c>
      <c r="H29" s="8">
        <v>2.7</v>
      </c>
      <c r="I29" s="12">
        <v>0</v>
      </c>
    </row>
    <row r="30" spans="2:9" ht="15" customHeight="1" x14ac:dyDescent="0.15">
      <c r="B30" t="s">
        <v>90</v>
      </c>
      <c r="C30" s="12">
        <v>606</v>
      </c>
      <c r="D30" s="8">
        <v>12.37</v>
      </c>
      <c r="E30" s="12">
        <v>507</v>
      </c>
      <c r="F30" s="8">
        <v>17.329999999999998</v>
      </c>
      <c r="G30" s="12">
        <v>99</v>
      </c>
      <c r="H30" s="8">
        <v>5.04</v>
      </c>
      <c r="I30" s="12">
        <v>0</v>
      </c>
    </row>
    <row r="31" spans="2:9" ht="15" customHeight="1" x14ac:dyDescent="0.15">
      <c r="B31" t="s">
        <v>84</v>
      </c>
      <c r="C31" s="12">
        <v>390</v>
      </c>
      <c r="D31" s="8">
        <v>7.96</v>
      </c>
      <c r="E31" s="12">
        <v>239</v>
      </c>
      <c r="F31" s="8">
        <v>8.17</v>
      </c>
      <c r="G31" s="12">
        <v>151</v>
      </c>
      <c r="H31" s="8">
        <v>7.69</v>
      </c>
      <c r="I31" s="12">
        <v>0</v>
      </c>
    </row>
    <row r="32" spans="2:9" ht="15" customHeight="1" x14ac:dyDescent="0.15">
      <c r="B32" t="s">
        <v>82</v>
      </c>
      <c r="C32" s="12">
        <v>288</v>
      </c>
      <c r="D32" s="8">
        <v>5.88</v>
      </c>
      <c r="E32" s="12">
        <v>208</v>
      </c>
      <c r="F32" s="8">
        <v>7.11</v>
      </c>
      <c r="G32" s="12">
        <v>80</v>
      </c>
      <c r="H32" s="8">
        <v>4.07</v>
      </c>
      <c r="I32" s="12">
        <v>0</v>
      </c>
    </row>
    <row r="33" spans="2:9" ht="15" customHeight="1" x14ac:dyDescent="0.15">
      <c r="B33" t="s">
        <v>86</v>
      </c>
      <c r="C33" s="12">
        <v>271</v>
      </c>
      <c r="D33" s="8">
        <v>5.53</v>
      </c>
      <c r="E33" s="12">
        <v>90</v>
      </c>
      <c r="F33" s="8">
        <v>3.08</v>
      </c>
      <c r="G33" s="12">
        <v>181</v>
      </c>
      <c r="H33" s="8">
        <v>9.2200000000000006</v>
      </c>
      <c r="I33" s="12">
        <v>0</v>
      </c>
    </row>
    <row r="34" spans="2:9" ht="15" customHeight="1" x14ac:dyDescent="0.15">
      <c r="B34" t="s">
        <v>92</v>
      </c>
      <c r="C34" s="12">
        <v>242</v>
      </c>
      <c r="D34" s="8">
        <v>4.9400000000000004</v>
      </c>
      <c r="E34" s="12">
        <v>196</v>
      </c>
      <c r="F34" s="8">
        <v>6.7</v>
      </c>
      <c r="G34" s="12">
        <v>45</v>
      </c>
      <c r="H34" s="8">
        <v>2.29</v>
      </c>
      <c r="I34" s="12">
        <v>1</v>
      </c>
    </row>
    <row r="35" spans="2:9" ht="15" customHeight="1" x14ac:dyDescent="0.15">
      <c r="B35" t="s">
        <v>74</v>
      </c>
      <c r="C35" s="12">
        <v>216</v>
      </c>
      <c r="D35" s="8">
        <v>4.41</v>
      </c>
      <c r="E35" s="12">
        <v>53</v>
      </c>
      <c r="F35" s="8">
        <v>1.81</v>
      </c>
      <c r="G35" s="12">
        <v>163</v>
      </c>
      <c r="H35" s="8">
        <v>8.3000000000000007</v>
      </c>
      <c r="I35" s="12">
        <v>0</v>
      </c>
    </row>
    <row r="36" spans="2:9" ht="15" customHeight="1" x14ac:dyDescent="0.15">
      <c r="B36" t="s">
        <v>93</v>
      </c>
      <c r="C36" s="12">
        <v>200</v>
      </c>
      <c r="D36" s="8">
        <v>4.08</v>
      </c>
      <c r="E36" s="12">
        <v>179</v>
      </c>
      <c r="F36" s="8">
        <v>6.12</v>
      </c>
      <c r="G36" s="12">
        <v>21</v>
      </c>
      <c r="H36" s="8">
        <v>1.07</v>
      </c>
      <c r="I36" s="12">
        <v>0</v>
      </c>
    </row>
    <row r="37" spans="2:9" ht="15" customHeight="1" x14ac:dyDescent="0.15">
      <c r="B37" t="s">
        <v>81</v>
      </c>
      <c r="C37" s="12">
        <v>167</v>
      </c>
      <c r="D37" s="8">
        <v>3.41</v>
      </c>
      <c r="E37" s="12">
        <v>79</v>
      </c>
      <c r="F37" s="8">
        <v>2.7</v>
      </c>
      <c r="G37" s="12">
        <v>88</v>
      </c>
      <c r="H37" s="8">
        <v>4.4800000000000004</v>
      </c>
      <c r="I37" s="12">
        <v>0</v>
      </c>
    </row>
    <row r="38" spans="2:9" ht="15" customHeight="1" x14ac:dyDescent="0.15">
      <c r="B38" t="s">
        <v>83</v>
      </c>
      <c r="C38" s="12">
        <v>155</v>
      </c>
      <c r="D38" s="8">
        <v>3.16</v>
      </c>
      <c r="E38" s="12">
        <v>98</v>
      </c>
      <c r="F38" s="8">
        <v>3.35</v>
      </c>
      <c r="G38" s="12">
        <v>57</v>
      </c>
      <c r="H38" s="8">
        <v>2.9</v>
      </c>
      <c r="I38" s="12">
        <v>0</v>
      </c>
    </row>
    <row r="39" spans="2:9" ht="15" customHeight="1" x14ac:dyDescent="0.15">
      <c r="B39" t="s">
        <v>87</v>
      </c>
      <c r="C39" s="12">
        <v>135</v>
      </c>
      <c r="D39" s="8">
        <v>2.76</v>
      </c>
      <c r="E39" s="12">
        <v>106</v>
      </c>
      <c r="F39" s="8">
        <v>3.62</v>
      </c>
      <c r="G39" s="12">
        <v>29</v>
      </c>
      <c r="H39" s="8">
        <v>1.48</v>
      </c>
      <c r="I39" s="12">
        <v>0</v>
      </c>
    </row>
    <row r="40" spans="2:9" ht="15" customHeight="1" x14ac:dyDescent="0.15">
      <c r="B40" t="s">
        <v>75</v>
      </c>
      <c r="C40" s="12">
        <v>111</v>
      </c>
      <c r="D40" s="8">
        <v>2.27</v>
      </c>
      <c r="E40" s="12">
        <v>47</v>
      </c>
      <c r="F40" s="8">
        <v>1.61</v>
      </c>
      <c r="G40" s="12">
        <v>64</v>
      </c>
      <c r="H40" s="8">
        <v>3.26</v>
      </c>
      <c r="I40" s="12">
        <v>0</v>
      </c>
    </row>
    <row r="41" spans="2:9" ht="15" customHeight="1" x14ac:dyDescent="0.15">
      <c r="B41" t="s">
        <v>85</v>
      </c>
      <c r="C41" s="12">
        <v>106</v>
      </c>
      <c r="D41" s="8">
        <v>2.16</v>
      </c>
      <c r="E41" s="12">
        <v>22</v>
      </c>
      <c r="F41" s="8">
        <v>0.75</v>
      </c>
      <c r="G41" s="12">
        <v>84</v>
      </c>
      <c r="H41" s="8">
        <v>4.28</v>
      </c>
      <c r="I41" s="12">
        <v>0</v>
      </c>
    </row>
    <row r="42" spans="2:9" ht="15" customHeight="1" x14ac:dyDescent="0.15">
      <c r="B42" t="s">
        <v>76</v>
      </c>
      <c r="C42" s="12">
        <v>99</v>
      </c>
      <c r="D42" s="8">
        <v>2.02</v>
      </c>
      <c r="E42" s="12">
        <v>27</v>
      </c>
      <c r="F42" s="8">
        <v>0.92</v>
      </c>
      <c r="G42" s="12">
        <v>72</v>
      </c>
      <c r="H42" s="8">
        <v>3.67</v>
      </c>
      <c r="I42" s="12">
        <v>0</v>
      </c>
    </row>
    <row r="43" spans="2:9" ht="15" customHeight="1" x14ac:dyDescent="0.15">
      <c r="B43" t="s">
        <v>88</v>
      </c>
      <c r="C43" s="12">
        <v>81</v>
      </c>
      <c r="D43" s="8">
        <v>1.65</v>
      </c>
      <c r="E43" s="12">
        <v>36</v>
      </c>
      <c r="F43" s="8">
        <v>1.23</v>
      </c>
      <c r="G43" s="12">
        <v>45</v>
      </c>
      <c r="H43" s="8">
        <v>2.29</v>
      </c>
      <c r="I43" s="12">
        <v>0</v>
      </c>
    </row>
    <row r="44" spans="2:9" ht="15" customHeight="1" x14ac:dyDescent="0.15">
      <c r="B44" t="s">
        <v>79</v>
      </c>
      <c r="C44" s="12">
        <v>69</v>
      </c>
      <c r="D44" s="8">
        <v>1.41</v>
      </c>
      <c r="E44" s="12">
        <v>9</v>
      </c>
      <c r="F44" s="8">
        <v>0.31</v>
      </c>
      <c r="G44" s="12">
        <v>60</v>
      </c>
      <c r="H44" s="8">
        <v>3.05</v>
      </c>
      <c r="I44" s="12">
        <v>0</v>
      </c>
    </row>
    <row r="45" spans="2:9" ht="15" customHeight="1" x14ac:dyDescent="0.15">
      <c r="B45" t="s">
        <v>78</v>
      </c>
      <c r="C45" s="12">
        <v>68</v>
      </c>
      <c r="D45" s="8">
        <v>1.39</v>
      </c>
      <c r="E45" s="12">
        <v>14</v>
      </c>
      <c r="F45" s="8">
        <v>0.48</v>
      </c>
      <c r="G45" s="12">
        <v>54</v>
      </c>
      <c r="H45" s="8">
        <v>2.75</v>
      </c>
      <c r="I45" s="12">
        <v>0</v>
      </c>
    </row>
    <row r="46" spans="2:9" ht="15" customHeight="1" x14ac:dyDescent="0.15">
      <c r="B46" t="s">
        <v>91</v>
      </c>
      <c r="C46" s="12">
        <v>66</v>
      </c>
      <c r="D46" s="8">
        <v>1.35</v>
      </c>
      <c r="E46" s="12">
        <v>33</v>
      </c>
      <c r="F46" s="8">
        <v>1.1299999999999999</v>
      </c>
      <c r="G46" s="12">
        <v>33</v>
      </c>
      <c r="H46" s="8">
        <v>1.68</v>
      </c>
      <c r="I46" s="12">
        <v>0</v>
      </c>
    </row>
    <row r="47" spans="2:9" ht="15" customHeight="1" x14ac:dyDescent="0.15">
      <c r="B47" t="s">
        <v>94</v>
      </c>
      <c r="C47" s="12">
        <v>66</v>
      </c>
      <c r="D47" s="8">
        <v>1.35</v>
      </c>
      <c r="E47" s="12">
        <v>4</v>
      </c>
      <c r="F47" s="8">
        <v>0.14000000000000001</v>
      </c>
      <c r="G47" s="12">
        <v>60</v>
      </c>
      <c r="H47" s="8">
        <v>3.05</v>
      </c>
      <c r="I47" s="12">
        <v>2</v>
      </c>
    </row>
    <row r="48" spans="2:9" ht="15" customHeight="1" x14ac:dyDescent="0.15">
      <c r="B48" t="s">
        <v>80</v>
      </c>
      <c r="C48" s="12">
        <v>54</v>
      </c>
      <c r="D48" s="8">
        <v>1.1000000000000001</v>
      </c>
      <c r="E48" s="12">
        <v>10</v>
      </c>
      <c r="F48" s="8">
        <v>0.34</v>
      </c>
      <c r="G48" s="12">
        <v>44</v>
      </c>
      <c r="H48" s="8">
        <v>2.2400000000000002</v>
      </c>
      <c r="I48" s="12">
        <v>0</v>
      </c>
    </row>
    <row r="51" spans="2:9" ht="33" customHeight="1" x14ac:dyDescent="0.15">
      <c r="B51" t="s">
        <v>276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141</v>
      </c>
      <c r="C52" s="12">
        <v>298</v>
      </c>
      <c r="D52" s="8">
        <v>6.08</v>
      </c>
      <c r="E52" s="12">
        <v>273</v>
      </c>
      <c r="F52" s="8">
        <v>9.33</v>
      </c>
      <c r="G52" s="12">
        <v>25</v>
      </c>
      <c r="H52" s="8">
        <v>1.27</v>
      </c>
      <c r="I52" s="12">
        <v>0</v>
      </c>
    </row>
    <row r="53" spans="2:9" ht="15" customHeight="1" x14ac:dyDescent="0.15">
      <c r="B53" t="s">
        <v>138</v>
      </c>
      <c r="C53" s="12">
        <v>184</v>
      </c>
      <c r="D53" s="8">
        <v>3.76</v>
      </c>
      <c r="E53" s="12">
        <v>174</v>
      </c>
      <c r="F53" s="8">
        <v>5.95</v>
      </c>
      <c r="G53" s="12">
        <v>10</v>
      </c>
      <c r="H53" s="8">
        <v>0.51</v>
      </c>
      <c r="I53" s="12">
        <v>0</v>
      </c>
    </row>
    <row r="54" spans="2:9" ht="15" customHeight="1" x14ac:dyDescent="0.15">
      <c r="B54" t="s">
        <v>140</v>
      </c>
      <c r="C54" s="12">
        <v>165</v>
      </c>
      <c r="D54" s="8">
        <v>3.37</v>
      </c>
      <c r="E54" s="12">
        <v>154</v>
      </c>
      <c r="F54" s="8">
        <v>5.26</v>
      </c>
      <c r="G54" s="12">
        <v>11</v>
      </c>
      <c r="H54" s="8">
        <v>0.56000000000000005</v>
      </c>
      <c r="I54" s="12">
        <v>0</v>
      </c>
    </row>
    <row r="55" spans="2:9" ht="15" customHeight="1" x14ac:dyDescent="0.15">
      <c r="B55" t="s">
        <v>143</v>
      </c>
      <c r="C55" s="12">
        <v>160</v>
      </c>
      <c r="D55" s="8">
        <v>3.27</v>
      </c>
      <c r="E55" s="12">
        <v>132</v>
      </c>
      <c r="F55" s="8">
        <v>4.51</v>
      </c>
      <c r="G55" s="12">
        <v>27</v>
      </c>
      <c r="H55" s="8">
        <v>1.37</v>
      </c>
      <c r="I55" s="12">
        <v>1</v>
      </c>
    </row>
    <row r="56" spans="2:9" ht="15" customHeight="1" x14ac:dyDescent="0.15">
      <c r="B56" t="s">
        <v>136</v>
      </c>
      <c r="C56" s="12">
        <v>159</v>
      </c>
      <c r="D56" s="8">
        <v>3.25</v>
      </c>
      <c r="E56" s="12">
        <v>151</v>
      </c>
      <c r="F56" s="8">
        <v>5.16</v>
      </c>
      <c r="G56" s="12">
        <v>8</v>
      </c>
      <c r="H56" s="8">
        <v>0.41</v>
      </c>
      <c r="I56" s="12">
        <v>0</v>
      </c>
    </row>
    <row r="57" spans="2:9" ht="15" customHeight="1" x14ac:dyDescent="0.15">
      <c r="B57" t="s">
        <v>132</v>
      </c>
      <c r="C57" s="12">
        <v>149</v>
      </c>
      <c r="D57" s="8">
        <v>3.04</v>
      </c>
      <c r="E57" s="12">
        <v>104</v>
      </c>
      <c r="F57" s="8">
        <v>3.55</v>
      </c>
      <c r="G57" s="12">
        <v>45</v>
      </c>
      <c r="H57" s="8">
        <v>2.29</v>
      </c>
      <c r="I57" s="12">
        <v>0</v>
      </c>
    </row>
    <row r="58" spans="2:9" ht="15" customHeight="1" x14ac:dyDescent="0.15">
      <c r="B58" t="s">
        <v>144</v>
      </c>
      <c r="C58" s="12">
        <v>146</v>
      </c>
      <c r="D58" s="8">
        <v>2.98</v>
      </c>
      <c r="E58" s="12">
        <v>134</v>
      </c>
      <c r="F58" s="8">
        <v>4.58</v>
      </c>
      <c r="G58" s="12">
        <v>12</v>
      </c>
      <c r="H58" s="8">
        <v>0.61</v>
      </c>
      <c r="I58" s="12">
        <v>0</v>
      </c>
    </row>
    <row r="59" spans="2:9" ht="15" customHeight="1" x14ac:dyDescent="0.15">
      <c r="B59" t="s">
        <v>137</v>
      </c>
      <c r="C59" s="12">
        <v>123</v>
      </c>
      <c r="D59" s="8">
        <v>2.5099999999999998</v>
      </c>
      <c r="E59" s="12">
        <v>123</v>
      </c>
      <c r="F59" s="8">
        <v>4.2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135</v>
      </c>
      <c r="C60" s="12">
        <v>110</v>
      </c>
      <c r="D60" s="8">
        <v>2.25</v>
      </c>
      <c r="E60" s="12">
        <v>97</v>
      </c>
      <c r="F60" s="8">
        <v>3.32</v>
      </c>
      <c r="G60" s="12">
        <v>13</v>
      </c>
      <c r="H60" s="8">
        <v>0.66</v>
      </c>
      <c r="I60" s="12">
        <v>0</v>
      </c>
    </row>
    <row r="61" spans="2:9" ht="15" customHeight="1" x14ac:dyDescent="0.15">
      <c r="B61" t="s">
        <v>129</v>
      </c>
      <c r="C61" s="12">
        <v>105</v>
      </c>
      <c r="D61" s="8">
        <v>2.14</v>
      </c>
      <c r="E61" s="12">
        <v>70</v>
      </c>
      <c r="F61" s="8">
        <v>2.39</v>
      </c>
      <c r="G61" s="12">
        <v>35</v>
      </c>
      <c r="H61" s="8">
        <v>1.78</v>
      </c>
      <c r="I61" s="12">
        <v>0</v>
      </c>
    </row>
    <row r="62" spans="2:9" ht="15" customHeight="1" x14ac:dyDescent="0.15">
      <c r="B62" t="s">
        <v>139</v>
      </c>
      <c r="C62" s="12">
        <v>102</v>
      </c>
      <c r="D62" s="8">
        <v>2.08</v>
      </c>
      <c r="E62" s="12">
        <v>49</v>
      </c>
      <c r="F62" s="8">
        <v>1.67</v>
      </c>
      <c r="G62" s="12">
        <v>53</v>
      </c>
      <c r="H62" s="8">
        <v>2.7</v>
      </c>
      <c r="I62" s="12">
        <v>0</v>
      </c>
    </row>
    <row r="63" spans="2:9" ht="15" customHeight="1" x14ac:dyDescent="0.15">
      <c r="B63" t="s">
        <v>134</v>
      </c>
      <c r="C63" s="12">
        <v>95</v>
      </c>
      <c r="D63" s="8">
        <v>1.94</v>
      </c>
      <c r="E63" s="12">
        <v>35</v>
      </c>
      <c r="F63" s="8">
        <v>1.2</v>
      </c>
      <c r="G63" s="12">
        <v>60</v>
      </c>
      <c r="H63" s="8">
        <v>3.05</v>
      </c>
      <c r="I63" s="12">
        <v>0</v>
      </c>
    </row>
    <row r="64" spans="2:9" ht="15" customHeight="1" x14ac:dyDescent="0.15">
      <c r="B64" t="s">
        <v>128</v>
      </c>
      <c r="C64" s="12">
        <v>87</v>
      </c>
      <c r="D64" s="8">
        <v>1.78</v>
      </c>
      <c r="E64" s="12">
        <v>39</v>
      </c>
      <c r="F64" s="8">
        <v>1.33</v>
      </c>
      <c r="G64" s="12">
        <v>48</v>
      </c>
      <c r="H64" s="8">
        <v>2.44</v>
      </c>
      <c r="I64" s="12">
        <v>0</v>
      </c>
    </row>
    <row r="65" spans="2:9" ht="15" customHeight="1" x14ac:dyDescent="0.15">
      <c r="B65" t="s">
        <v>151</v>
      </c>
      <c r="C65" s="12">
        <v>84</v>
      </c>
      <c r="D65" s="8">
        <v>1.71</v>
      </c>
      <c r="E65" s="12">
        <v>79</v>
      </c>
      <c r="F65" s="8">
        <v>2.7</v>
      </c>
      <c r="G65" s="12">
        <v>5</v>
      </c>
      <c r="H65" s="8">
        <v>0.25</v>
      </c>
      <c r="I65" s="12">
        <v>0</v>
      </c>
    </row>
    <row r="66" spans="2:9" ht="15" customHeight="1" x14ac:dyDescent="0.15">
      <c r="B66" t="s">
        <v>133</v>
      </c>
      <c r="C66" s="12">
        <v>82</v>
      </c>
      <c r="D66" s="8">
        <v>1.67</v>
      </c>
      <c r="E66" s="12">
        <v>18</v>
      </c>
      <c r="F66" s="8">
        <v>0.62</v>
      </c>
      <c r="G66" s="12">
        <v>64</v>
      </c>
      <c r="H66" s="8">
        <v>3.26</v>
      </c>
      <c r="I66" s="12">
        <v>0</v>
      </c>
    </row>
    <row r="67" spans="2:9" ht="15" customHeight="1" x14ac:dyDescent="0.15">
      <c r="B67" t="s">
        <v>142</v>
      </c>
      <c r="C67" s="12">
        <v>76</v>
      </c>
      <c r="D67" s="8">
        <v>1.55</v>
      </c>
      <c r="E67" s="12">
        <v>62</v>
      </c>
      <c r="F67" s="8">
        <v>2.12</v>
      </c>
      <c r="G67" s="12">
        <v>14</v>
      </c>
      <c r="H67" s="8">
        <v>0.71</v>
      </c>
      <c r="I67" s="12">
        <v>0</v>
      </c>
    </row>
    <row r="68" spans="2:9" ht="15" customHeight="1" x14ac:dyDescent="0.15">
      <c r="B68" t="s">
        <v>131</v>
      </c>
      <c r="C68" s="12">
        <v>74</v>
      </c>
      <c r="D68" s="8">
        <v>1.51</v>
      </c>
      <c r="E68" s="12">
        <v>32</v>
      </c>
      <c r="F68" s="8">
        <v>1.0900000000000001</v>
      </c>
      <c r="G68" s="12">
        <v>42</v>
      </c>
      <c r="H68" s="8">
        <v>2.14</v>
      </c>
      <c r="I68" s="12">
        <v>0</v>
      </c>
    </row>
    <row r="69" spans="2:9" ht="15" customHeight="1" x14ac:dyDescent="0.15">
      <c r="B69" t="s">
        <v>155</v>
      </c>
      <c r="C69" s="12">
        <v>73</v>
      </c>
      <c r="D69" s="8">
        <v>1.49</v>
      </c>
      <c r="E69" s="12">
        <v>60</v>
      </c>
      <c r="F69" s="8">
        <v>2.0499999999999998</v>
      </c>
      <c r="G69" s="12">
        <v>13</v>
      </c>
      <c r="H69" s="8">
        <v>0.66</v>
      </c>
      <c r="I69" s="12">
        <v>0</v>
      </c>
    </row>
    <row r="70" spans="2:9" ht="15" customHeight="1" x14ac:dyDescent="0.15">
      <c r="B70" t="s">
        <v>130</v>
      </c>
      <c r="C70" s="12">
        <v>66</v>
      </c>
      <c r="D70" s="8">
        <v>1.35</v>
      </c>
      <c r="E70" s="12">
        <v>36</v>
      </c>
      <c r="F70" s="8">
        <v>1.23</v>
      </c>
      <c r="G70" s="12">
        <v>30</v>
      </c>
      <c r="H70" s="8">
        <v>1.53</v>
      </c>
      <c r="I70" s="12">
        <v>0</v>
      </c>
    </row>
    <row r="71" spans="2:9" ht="15" customHeight="1" x14ac:dyDescent="0.15">
      <c r="B71" t="s">
        <v>149</v>
      </c>
      <c r="C71" s="12">
        <v>65</v>
      </c>
      <c r="D71" s="8">
        <v>1.33</v>
      </c>
      <c r="E71" s="12">
        <v>4</v>
      </c>
      <c r="F71" s="8">
        <v>0.14000000000000001</v>
      </c>
      <c r="G71" s="12">
        <v>61</v>
      </c>
      <c r="H71" s="8">
        <v>3.11</v>
      </c>
      <c r="I71" s="12">
        <v>0</v>
      </c>
    </row>
    <row r="73" spans="2:9" ht="15" customHeight="1" x14ac:dyDescent="0.15">
      <c r="B73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277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625</v>
      </c>
      <c r="D6" s="8">
        <v>8.14</v>
      </c>
      <c r="E6" s="12">
        <v>125</v>
      </c>
      <c r="F6" s="8">
        <v>2.96</v>
      </c>
      <c r="G6" s="12">
        <v>500</v>
      </c>
      <c r="H6" s="8">
        <v>14.56</v>
      </c>
      <c r="I6" s="12">
        <v>0</v>
      </c>
    </row>
    <row r="7" spans="2:9" ht="15" customHeight="1" x14ac:dyDescent="0.15">
      <c r="B7" t="s">
        <v>53</v>
      </c>
      <c r="C7" s="12">
        <v>249</v>
      </c>
      <c r="D7" s="8">
        <v>3.24</v>
      </c>
      <c r="E7" s="12">
        <v>61</v>
      </c>
      <c r="F7" s="8">
        <v>1.44</v>
      </c>
      <c r="G7" s="12">
        <v>188</v>
      </c>
      <c r="H7" s="8">
        <v>5.47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51</v>
      </c>
      <c r="D9" s="8">
        <v>0.66</v>
      </c>
      <c r="E9" s="12">
        <v>6</v>
      </c>
      <c r="F9" s="8">
        <v>0.14000000000000001</v>
      </c>
      <c r="G9" s="12">
        <v>45</v>
      </c>
      <c r="H9" s="8">
        <v>1.31</v>
      </c>
      <c r="I9" s="12">
        <v>0</v>
      </c>
    </row>
    <row r="10" spans="2:9" ht="15" customHeight="1" x14ac:dyDescent="0.15">
      <c r="B10" t="s">
        <v>56</v>
      </c>
      <c r="C10" s="12">
        <v>68</v>
      </c>
      <c r="D10" s="8">
        <v>0.89</v>
      </c>
      <c r="E10" s="12">
        <v>10</v>
      </c>
      <c r="F10" s="8">
        <v>0.24</v>
      </c>
      <c r="G10" s="12">
        <v>58</v>
      </c>
      <c r="H10" s="8">
        <v>1.69</v>
      </c>
      <c r="I10" s="12">
        <v>0</v>
      </c>
    </row>
    <row r="11" spans="2:9" ht="15" customHeight="1" x14ac:dyDescent="0.15">
      <c r="B11" t="s">
        <v>57</v>
      </c>
      <c r="C11" s="12">
        <v>1857</v>
      </c>
      <c r="D11" s="8">
        <v>24.19</v>
      </c>
      <c r="E11" s="12">
        <v>922</v>
      </c>
      <c r="F11" s="8">
        <v>21.8</v>
      </c>
      <c r="G11" s="12">
        <v>931</v>
      </c>
      <c r="H11" s="8">
        <v>27.1</v>
      </c>
      <c r="I11" s="12">
        <v>4</v>
      </c>
    </row>
    <row r="12" spans="2:9" ht="15" customHeight="1" x14ac:dyDescent="0.15">
      <c r="B12" t="s">
        <v>58</v>
      </c>
      <c r="C12" s="12">
        <v>52</v>
      </c>
      <c r="D12" s="8">
        <v>0.68</v>
      </c>
      <c r="E12" s="12">
        <v>6</v>
      </c>
      <c r="F12" s="8">
        <v>0.14000000000000001</v>
      </c>
      <c r="G12" s="12">
        <v>46</v>
      </c>
      <c r="H12" s="8">
        <v>1.34</v>
      </c>
      <c r="I12" s="12">
        <v>0</v>
      </c>
    </row>
    <row r="13" spans="2:9" ht="15" customHeight="1" x14ac:dyDescent="0.15">
      <c r="B13" t="s">
        <v>59</v>
      </c>
      <c r="C13" s="12">
        <v>1088</v>
      </c>
      <c r="D13" s="8">
        <v>14.17</v>
      </c>
      <c r="E13" s="12">
        <v>394</v>
      </c>
      <c r="F13" s="8">
        <v>9.31</v>
      </c>
      <c r="G13" s="12">
        <v>690</v>
      </c>
      <c r="H13" s="8">
        <v>20.09</v>
      </c>
      <c r="I13" s="12">
        <v>4</v>
      </c>
    </row>
    <row r="14" spans="2:9" ht="15" customHeight="1" x14ac:dyDescent="0.15">
      <c r="B14" t="s">
        <v>60</v>
      </c>
      <c r="C14" s="12">
        <v>378</v>
      </c>
      <c r="D14" s="8">
        <v>4.92</v>
      </c>
      <c r="E14" s="12">
        <v>216</v>
      </c>
      <c r="F14" s="8">
        <v>5.1100000000000003</v>
      </c>
      <c r="G14" s="12">
        <v>162</v>
      </c>
      <c r="H14" s="8">
        <v>4.72</v>
      </c>
      <c r="I14" s="12">
        <v>0</v>
      </c>
    </row>
    <row r="15" spans="2:9" ht="15" customHeight="1" x14ac:dyDescent="0.15">
      <c r="B15" t="s">
        <v>61</v>
      </c>
      <c r="C15" s="12">
        <v>1216</v>
      </c>
      <c r="D15" s="8">
        <v>15.84</v>
      </c>
      <c r="E15" s="12">
        <v>1033</v>
      </c>
      <c r="F15" s="8">
        <v>24.42</v>
      </c>
      <c r="G15" s="12">
        <v>183</v>
      </c>
      <c r="H15" s="8">
        <v>5.33</v>
      </c>
      <c r="I15" s="12">
        <v>0</v>
      </c>
    </row>
    <row r="16" spans="2:9" ht="15" customHeight="1" x14ac:dyDescent="0.15">
      <c r="B16" t="s">
        <v>62</v>
      </c>
      <c r="C16" s="12">
        <v>1035</v>
      </c>
      <c r="D16" s="8">
        <v>13.48</v>
      </c>
      <c r="E16" s="12">
        <v>786</v>
      </c>
      <c r="F16" s="8">
        <v>18.579999999999998</v>
      </c>
      <c r="G16" s="12">
        <v>249</v>
      </c>
      <c r="H16" s="8">
        <v>7.25</v>
      </c>
      <c r="I16" s="12">
        <v>0</v>
      </c>
    </row>
    <row r="17" spans="2:9" ht="15" customHeight="1" x14ac:dyDescent="0.15">
      <c r="B17" t="s">
        <v>63</v>
      </c>
      <c r="C17" s="12">
        <v>375</v>
      </c>
      <c r="D17" s="8">
        <v>4.88</v>
      </c>
      <c r="E17" s="12">
        <v>243</v>
      </c>
      <c r="F17" s="8">
        <v>5.74</v>
      </c>
      <c r="G17" s="12">
        <v>131</v>
      </c>
      <c r="H17" s="8">
        <v>3.81</v>
      </c>
      <c r="I17" s="12">
        <v>1</v>
      </c>
    </row>
    <row r="18" spans="2:9" ht="15" customHeight="1" x14ac:dyDescent="0.15">
      <c r="B18" t="s">
        <v>64</v>
      </c>
      <c r="C18" s="12">
        <v>504</v>
      </c>
      <c r="D18" s="8">
        <v>6.57</v>
      </c>
      <c r="E18" s="12">
        <v>376</v>
      </c>
      <c r="F18" s="8">
        <v>8.89</v>
      </c>
      <c r="G18" s="12">
        <v>127</v>
      </c>
      <c r="H18" s="8">
        <v>3.7</v>
      </c>
      <c r="I18" s="12">
        <v>1</v>
      </c>
    </row>
    <row r="19" spans="2:9" ht="15" customHeight="1" x14ac:dyDescent="0.15">
      <c r="B19" t="s">
        <v>65</v>
      </c>
      <c r="C19" s="12">
        <v>179</v>
      </c>
      <c r="D19" s="8">
        <v>2.33</v>
      </c>
      <c r="E19" s="12">
        <v>52</v>
      </c>
      <c r="F19" s="8">
        <v>1.23</v>
      </c>
      <c r="G19" s="12">
        <v>125</v>
      </c>
      <c r="H19" s="8">
        <v>3.64</v>
      </c>
      <c r="I19" s="12">
        <v>2</v>
      </c>
    </row>
    <row r="20" spans="2:9" ht="15" customHeight="1" x14ac:dyDescent="0.15">
      <c r="B20" s="9" t="s">
        <v>215</v>
      </c>
      <c r="C20" s="12">
        <f>SUM(LTBL_28204[総数／事業所数])</f>
        <v>7677</v>
      </c>
      <c r="E20" s="12">
        <f>SUBTOTAL(109,LTBL_28204[個人／事業所数])</f>
        <v>4230</v>
      </c>
      <c r="G20" s="12">
        <f>SUBTOTAL(109,LTBL_28204[法人／事業所数])</f>
        <v>3435</v>
      </c>
      <c r="I20" s="12">
        <f>SUBTOTAL(109,LTBL_28204[法人以外の団体／事業所数])</f>
        <v>12</v>
      </c>
    </row>
    <row r="21" spans="2:9" ht="15" customHeight="1" x14ac:dyDescent="0.15">
      <c r="E21" s="11">
        <f>LTBL_28204[[#Totals],[個人／事業所数]]/LTBL_28204[[#Totals],[総数／事業所数]]</f>
        <v>0.55099648300117232</v>
      </c>
      <c r="G21" s="11">
        <f>LTBL_28204[[#Totals],[法人／事業所数]]/LTBL_28204[[#Totals],[総数／事業所数]]</f>
        <v>0.44744040640875343</v>
      </c>
      <c r="I21" s="11">
        <f>LTBL_28204[[#Totals],[法人以外の団体／事業所数]]/LTBL_28204[[#Totals],[総数／事業所数]]</f>
        <v>1.5631105900742479E-3</v>
      </c>
    </row>
    <row r="23" spans="2:9" ht="33" customHeight="1" x14ac:dyDescent="0.15">
      <c r="B23" t="s">
        <v>214</v>
      </c>
      <c r="C23" s="10" t="s">
        <v>67</v>
      </c>
      <c r="D23" s="10" t="s">
        <v>278</v>
      </c>
      <c r="E23" s="10" t="s">
        <v>69</v>
      </c>
      <c r="F23" s="10" t="s">
        <v>279</v>
      </c>
      <c r="G23" s="10" t="s">
        <v>71</v>
      </c>
      <c r="H23" s="10" t="s">
        <v>280</v>
      </c>
      <c r="I23" s="10" t="s">
        <v>73</v>
      </c>
    </row>
    <row r="24" spans="2:9" ht="15" customHeight="1" x14ac:dyDescent="0.15">
      <c r="B24" t="s">
        <v>217</v>
      </c>
      <c r="C24">
        <v>14</v>
      </c>
      <c r="D24" t="s">
        <v>216</v>
      </c>
      <c r="E24">
        <v>0</v>
      </c>
      <c r="F24" t="s">
        <v>218</v>
      </c>
      <c r="G24">
        <v>14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281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89</v>
      </c>
      <c r="C29" s="12">
        <v>1091</v>
      </c>
      <c r="D29" s="8">
        <v>14.21</v>
      </c>
      <c r="E29" s="12">
        <v>993</v>
      </c>
      <c r="F29" s="8">
        <v>23.48</v>
      </c>
      <c r="G29" s="12">
        <v>98</v>
      </c>
      <c r="H29" s="8">
        <v>2.85</v>
      </c>
      <c r="I29" s="12">
        <v>0</v>
      </c>
    </row>
    <row r="30" spans="2:9" ht="15" customHeight="1" x14ac:dyDescent="0.15">
      <c r="B30" t="s">
        <v>90</v>
      </c>
      <c r="C30" s="12">
        <v>888</v>
      </c>
      <c r="D30" s="8">
        <v>11.57</v>
      </c>
      <c r="E30" s="12">
        <v>711</v>
      </c>
      <c r="F30" s="8">
        <v>16.809999999999999</v>
      </c>
      <c r="G30" s="12">
        <v>177</v>
      </c>
      <c r="H30" s="8">
        <v>5.15</v>
      </c>
      <c r="I30" s="12">
        <v>0</v>
      </c>
    </row>
    <row r="31" spans="2:9" ht="15" customHeight="1" x14ac:dyDescent="0.15">
      <c r="B31" t="s">
        <v>86</v>
      </c>
      <c r="C31" s="12">
        <v>834</v>
      </c>
      <c r="D31" s="8">
        <v>10.86</v>
      </c>
      <c r="E31" s="12">
        <v>360</v>
      </c>
      <c r="F31" s="8">
        <v>8.51</v>
      </c>
      <c r="G31" s="12">
        <v>470</v>
      </c>
      <c r="H31" s="8">
        <v>13.68</v>
      </c>
      <c r="I31" s="12">
        <v>4</v>
      </c>
    </row>
    <row r="32" spans="2:9" ht="15" customHeight="1" x14ac:dyDescent="0.15">
      <c r="B32" t="s">
        <v>84</v>
      </c>
      <c r="C32" s="12">
        <v>580</v>
      </c>
      <c r="D32" s="8">
        <v>7.56</v>
      </c>
      <c r="E32" s="12">
        <v>344</v>
      </c>
      <c r="F32" s="8">
        <v>8.1300000000000008</v>
      </c>
      <c r="G32" s="12">
        <v>233</v>
      </c>
      <c r="H32" s="8">
        <v>6.78</v>
      </c>
      <c r="I32" s="12">
        <v>3</v>
      </c>
    </row>
    <row r="33" spans="2:9" ht="15" customHeight="1" x14ac:dyDescent="0.15">
      <c r="B33" t="s">
        <v>93</v>
      </c>
      <c r="C33" s="12">
        <v>412</v>
      </c>
      <c r="D33" s="8">
        <v>5.37</v>
      </c>
      <c r="E33" s="12">
        <v>373</v>
      </c>
      <c r="F33" s="8">
        <v>8.82</v>
      </c>
      <c r="G33" s="12">
        <v>39</v>
      </c>
      <c r="H33" s="8">
        <v>1.1399999999999999</v>
      </c>
      <c r="I33" s="12">
        <v>0</v>
      </c>
    </row>
    <row r="34" spans="2:9" ht="15" customHeight="1" x14ac:dyDescent="0.15">
      <c r="B34" t="s">
        <v>92</v>
      </c>
      <c r="C34" s="12">
        <v>375</v>
      </c>
      <c r="D34" s="8">
        <v>4.88</v>
      </c>
      <c r="E34" s="12">
        <v>243</v>
      </c>
      <c r="F34" s="8">
        <v>5.74</v>
      </c>
      <c r="G34" s="12">
        <v>131</v>
      </c>
      <c r="H34" s="8">
        <v>3.81</v>
      </c>
      <c r="I34" s="12">
        <v>1</v>
      </c>
    </row>
    <row r="35" spans="2:9" ht="15" customHeight="1" x14ac:dyDescent="0.15">
      <c r="B35" t="s">
        <v>82</v>
      </c>
      <c r="C35" s="12">
        <v>338</v>
      </c>
      <c r="D35" s="8">
        <v>4.4000000000000004</v>
      </c>
      <c r="E35" s="12">
        <v>237</v>
      </c>
      <c r="F35" s="8">
        <v>5.6</v>
      </c>
      <c r="G35" s="12">
        <v>101</v>
      </c>
      <c r="H35" s="8">
        <v>2.94</v>
      </c>
      <c r="I35" s="12">
        <v>0</v>
      </c>
    </row>
    <row r="36" spans="2:9" ht="15" customHeight="1" x14ac:dyDescent="0.15">
      <c r="B36" t="s">
        <v>81</v>
      </c>
      <c r="C36" s="12">
        <v>329</v>
      </c>
      <c r="D36" s="8">
        <v>4.29</v>
      </c>
      <c r="E36" s="12">
        <v>158</v>
      </c>
      <c r="F36" s="8">
        <v>3.74</v>
      </c>
      <c r="G36" s="12">
        <v>170</v>
      </c>
      <c r="H36" s="8">
        <v>4.95</v>
      </c>
      <c r="I36" s="12">
        <v>1</v>
      </c>
    </row>
    <row r="37" spans="2:9" ht="15" customHeight="1" x14ac:dyDescent="0.15">
      <c r="B37" t="s">
        <v>74</v>
      </c>
      <c r="C37" s="12">
        <v>316</v>
      </c>
      <c r="D37" s="8">
        <v>4.12</v>
      </c>
      <c r="E37" s="12">
        <v>54</v>
      </c>
      <c r="F37" s="8">
        <v>1.28</v>
      </c>
      <c r="G37" s="12">
        <v>262</v>
      </c>
      <c r="H37" s="8">
        <v>7.63</v>
      </c>
      <c r="I37" s="12">
        <v>0</v>
      </c>
    </row>
    <row r="38" spans="2:9" ht="15" customHeight="1" x14ac:dyDescent="0.15">
      <c r="B38" t="s">
        <v>85</v>
      </c>
      <c r="C38" s="12">
        <v>230</v>
      </c>
      <c r="D38" s="8">
        <v>3</v>
      </c>
      <c r="E38" s="12">
        <v>33</v>
      </c>
      <c r="F38" s="8">
        <v>0.78</v>
      </c>
      <c r="G38" s="12">
        <v>197</v>
      </c>
      <c r="H38" s="8">
        <v>5.74</v>
      </c>
      <c r="I38" s="12">
        <v>0</v>
      </c>
    </row>
    <row r="39" spans="2:9" ht="15" customHeight="1" x14ac:dyDescent="0.15">
      <c r="B39" t="s">
        <v>87</v>
      </c>
      <c r="C39" s="12">
        <v>216</v>
      </c>
      <c r="D39" s="8">
        <v>2.81</v>
      </c>
      <c r="E39" s="12">
        <v>142</v>
      </c>
      <c r="F39" s="8">
        <v>3.36</v>
      </c>
      <c r="G39" s="12">
        <v>74</v>
      </c>
      <c r="H39" s="8">
        <v>2.15</v>
      </c>
      <c r="I39" s="12">
        <v>0</v>
      </c>
    </row>
    <row r="40" spans="2:9" ht="15" customHeight="1" x14ac:dyDescent="0.15">
      <c r="B40" t="s">
        <v>83</v>
      </c>
      <c r="C40" s="12">
        <v>199</v>
      </c>
      <c r="D40" s="8">
        <v>2.59</v>
      </c>
      <c r="E40" s="12">
        <v>104</v>
      </c>
      <c r="F40" s="8">
        <v>2.46</v>
      </c>
      <c r="G40" s="12">
        <v>95</v>
      </c>
      <c r="H40" s="8">
        <v>2.77</v>
      </c>
      <c r="I40" s="12">
        <v>0</v>
      </c>
    </row>
    <row r="41" spans="2:9" ht="15" customHeight="1" x14ac:dyDescent="0.15">
      <c r="B41" t="s">
        <v>75</v>
      </c>
      <c r="C41" s="12">
        <v>161</v>
      </c>
      <c r="D41" s="8">
        <v>2.1</v>
      </c>
      <c r="E41" s="12">
        <v>37</v>
      </c>
      <c r="F41" s="8">
        <v>0.87</v>
      </c>
      <c r="G41" s="12">
        <v>124</v>
      </c>
      <c r="H41" s="8">
        <v>3.61</v>
      </c>
      <c r="I41" s="12">
        <v>0</v>
      </c>
    </row>
    <row r="42" spans="2:9" ht="15" customHeight="1" x14ac:dyDescent="0.15">
      <c r="B42" t="s">
        <v>76</v>
      </c>
      <c r="C42" s="12">
        <v>148</v>
      </c>
      <c r="D42" s="8">
        <v>1.93</v>
      </c>
      <c r="E42" s="12">
        <v>34</v>
      </c>
      <c r="F42" s="8">
        <v>0.8</v>
      </c>
      <c r="G42" s="12">
        <v>114</v>
      </c>
      <c r="H42" s="8">
        <v>3.32</v>
      </c>
      <c r="I42" s="12">
        <v>0</v>
      </c>
    </row>
    <row r="43" spans="2:9" ht="15" customHeight="1" x14ac:dyDescent="0.15">
      <c r="B43" t="s">
        <v>88</v>
      </c>
      <c r="C43" s="12">
        <v>141</v>
      </c>
      <c r="D43" s="8">
        <v>1.84</v>
      </c>
      <c r="E43" s="12">
        <v>71</v>
      </c>
      <c r="F43" s="8">
        <v>1.68</v>
      </c>
      <c r="G43" s="12">
        <v>70</v>
      </c>
      <c r="H43" s="8">
        <v>2.04</v>
      </c>
      <c r="I43" s="12">
        <v>0</v>
      </c>
    </row>
    <row r="44" spans="2:9" ht="15" customHeight="1" x14ac:dyDescent="0.15">
      <c r="B44" t="s">
        <v>91</v>
      </c>
      <c r="C44" s="12">
        <v>96</v>
      </c>
      <c r="D44" s="8">
        <v>1.25</v>
      </c>
      <c r="E44" s="12">
        <v>50</v>
      </c>
      <c r="F44" s="8">
        <v>1.18</v>
      </c>
      <c r="G44" s="12">
        <v>46</v>
      </c>
      <c r="H44" s="8">
        <v>1.34</v>
      </c>
      <c r="I44" s="12">
        <v>0</v>
      </c>
    </row>
    <row r="45" spans="2:9" ht="15" customHeight="1" x14ac:dyDescent="0.15">
      <c r="B45" t="s">
        <v>80</v>
      </c>
      <c r="C45" s="12">
        <v>95</v>
      </c>
      <c r="D45" s="8">
        <v>1.24</v>
      </c>
      <c r="E45" s="12">
        <v>25</v>
      </c>
      <c r="F45" s="8">
        <v>0.59</v>
      </c>
      <c r="G45" s="12">
        <v>70</v>
      </c>
      <c r="H45" s="8">
        <v>2.04</v>
      </c>
      <c r="I45" s="12">
        <v>0</v>
      </c>
    </row>
    <row r="46" spans="2:9" ht="15" customHeight="1" x14ac:dyDescent="0.15">
      <c r="B46" t="s">
        <v>78</v>
      </c>
      <c r="C46" s="12">
        <v>92</v>
      </c>
      <c r="D46" s="8">
        <v>1.2</v>
      </c>
      <c r="E46" s="12">
        <v>11</v>
      </c>
      <c r="F46" s="8">
        <v>0.26</v>
      </c>
      <c r="G46" s="12">
        <v>81</v>
      </c>
      <c r="H46" s="8">
        <v>2.36</v>
      </c>
      <c r="I46" s="12">
        <v>0</v>
      </c>
    </row>
    <row r="47" spans="2:9" ht="15" customHeight="1" x14ac:dyDescent="0.15">
      <c r="B47" t="s">
        <v>105</v>
      </c>
      <c r="C47" s="12">
        <v>92</v>
      </c>
      <c r="D47" s="8">
        <v>1.2</v>
      </c>
      <c r="E47" s="12">
        <v>29</v>
      </c>
      <c r="F47" s="8">
        <v>0.69</v>
      </c>
      <c r="G47" s="12">
        <v>63</v>
      </c>
      <c r="H47" s="8">
        <v>1.83</v>
      </c>
      <c r="I47" s="12">
        <v>0</v>
      </c>
    </row>
    <row r="48" spans="2:9" ht="15" customHeight="1" x14ac:dyDescent="0.15">
      <c r="B48" t="s">
        <v>94</v>
      </c>
      <c r="C48" s="12">
        <v>92</v>
      </c>
      <c r="D48" s="8">
        <v>1.2</v>
      </c>
      <c r="E48" s="12">
        <v>3</v>
      </c>
      <c r="F48" s="8">
        <v>7.0000000000000007E-2</v>
      </c>
      <c r="G48" s="12">
        <v>88</v>
      </c>
      <c r="H48" s="8">
        <v>2.56</v>
      </c>
      <c r="I48" s="12">
        <v>1</v>
      </c>
    </row>
    <row r="51" spans="2:9" ht="33" customHeight="1" x14ac:dyDescent="0.15">
      <c r="B51" t="s">
        <v>244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141</v>
      </c>
      <c r="C52" s="12">
        <v>467</v>
      </c>
      <c r="D52" s="8">
        <v>6.08</v>
      </c>
      <c r="E52" s="12">
        <v>405</v>
      </c>
      <c r="F52" s="8">
        <v>9.57</v>
      </c>
      <c r="G52" s="12">
        <v>62</v>
      </c>
      <c r="H52" s="8">
        <v>1.8</v>
      </c>
      <c r="I52" s="12">
        <v>0</v>
      </c>
    </row>
    <row r="53" spans="2:9" ht="15" customHeight="1" x14ac:dyDescent="0.15">
      <c r="B53" t="s">
        <v>134</v>
      </c>
      <c r="C53" s="12">
        <v>465</v>
      </c>
      <c r="D53" s="8">
        <v>6.06</v>
      </c>
      <c r="E53" s="12">
        <v>265</v>
      </c>
      <c r="F53" s="8">
        <v>6.26</v>
      </c>
      <c r="G53" s="12">
        <v>199</v>
      </c>
      <c r="H53" s="8">
        <v>5.79</v>
      </c>
      <c r="I53" s="12">
        <v>1</v>
      </c>
    </row>
    <row r="54" spans="2:9" ht="15" customHeight="1" x14ac:dyDescent="0.15">
      <c r="B54" t="s">
        <v>144</v>
      </c>
      <c r="C54" s="12">
        <v>311</v>
      </c>
      <c r="D54" s="8">
        <v>4.05</v>
      </c>
      <c r="E54" s="12">
        <v>280</v>
      </c>
      <c r="F54" s="8">
        <v>6.62</v>
      </c>
      <c r="G54" s="12">
        <v>31</v>
      </c>
      <c r="H54" s="8">
        <v>0.9</v>
      </c>
      <c r="I54" s="12">
        <v>0</v>
      </c>
    </row>
    <row r="55" spans="2:9" ht="15" customHeight="1" x14ac:dyDescent="0.15">
      <c r="B55" t="s">
        <v>135</v>
      </c>
      <c r="C55" s="12">
        <v>274</v>
      </c>
      <c r="D55" s="8">
        <v>3.57</v>
      </c>
      <c r="E55" s="12">
        <v>238</v>
      </c>
      <c r="F55" s="8">
        <v>5.63</v>
      </c>
      <c r="G55" s="12">
        <v>36</v>
      </c>
      <c r="H55" s="8">
        <v>1.05</v>
      </c>
      <c r="I55" s="12">
        <v>0</v>
      </c>
    </row>
    <row r="56" spans="2:9" ht="15" customHeight="1" x14ac:dyDescent="0.15">
      <c r="B56" t="s">
        <v>132</v>
      </c>
      <c r="C56" s="12">
        <v>255</v>
      </c>
      <c r="D56" s="8">
        <v>3.32</v>
      </c>
      <c r="E56" s="12">
        <v>191</v>
      </c>
      <c r="F56" s="8">
        <v>4.5199999999999996</v>
      </c>
      <c r="G56" s="12">
        <v>63</v>
      </c>
      <c r="H56" s="8">
        <v>1.83</v>
      </c>
      <c r="I56" s="12">
        <v>1</v>
      </c>
    </row>
    <row r="57" spans="2:9" ht="15" customHeight="1" x14ac:dyDescent="0.15">
      <c r="B57" t="s">
        <v>143</v>
      </c>
      <c r="C57" s="12">
        <v>243</v>
      </c>
      <c r="D57" s="8">
        <v>3.17</v>
      </c>
      <c r="E57" s="12">
        <v>164</v>
      </c>
      <c r="F57" s="8">
        <v>3.88</v>
      </c>
      <c r="G57" s="12">
        <v>79</v>
      </c>
      <c r="H57" s="8">
        <v>2.2999999999999998</v>
      </c>
      <c r="I57" s="12">
        <v>0</v>
      </c>
    </row>
    <row r="58" spans="2:9" ht="15" customHeight="1" x14ac:dyDescent="0.15">
      <c r="B58" t="s">
        <v>138</v>
      </c>
      <c r="C58" s="12">
        <v>232</v>
      </c>
      <c r="D58" s="8">
        <v>3.02</v>
      </c>
      <c r="E58" s="12">
        <v>219</v>
      </c>
      <c r="F58" s="8">
        <v>5.18</v>
      </c>
      <c r="G58" s="12">
        <v>13</v>
      </c>
      <c r="H58" s="8">
        <v>0.38</v>
      </c>
      <c r="I58" s="12">
        <v>0</v>
      </c>
    </row>
    <row r="59" spans="2:9" ht="15" customHeight="1" x14ac:dyDescent="0.15">
      <c r="B59" t="s">
        <v>136</v>
      </c>
      <c r="C59" s="12">
        <v>227</v>
      </c>
      <c r="D59" s="8">
        <v>2.96</v>
      </c>
      <c r="E59" s="12">
        <v>209</v>
      </c>
      <c r="F59" s="8">
        <v>4.9400000000000004</v>
      </c>
      <c r="G59" s="12">
        <v>18</v>
      </c>
      <c r="H59" s="8">
        <v>0.52</v>
      </c>
      <c r="I59" s="12">
        <v>0</v>
      </c>
    </row>
    <row r="60" spans="2:9" ht="15" customHeight="1" x14ac:dyDescent="0.15">
      <c r="B60" t="s">
        <v>149</v>
      </c>
      <c r="C60" s="12">
        <v>193</v>
      </c>
      <c r="D60" s="8">
        <v>2.5099999999999998</v>
      </c>
      <c r="E60" s="12">
        <v>11</v>
      </c>
      <c r="F60" s="8">
        <v>0.26</v>
      </c>
      <c r="G60" s="12">
        <v>180</v>
      </c>
      <c r="H60" s="8">
        <v>5.24</v>
      </c>
      <c r="I60" s="12">
        <v>2</v>
      </c>
    </row>
    <row r="61" spans="2:9" ht="15" customHeight="1" x14ac:dyDescent="0.15">
      <c r="B61" t="s">
        <v>140</v>
      </c>
      <c r="C61" s="12">
        <v>190</v>
      </c>
      <c r="D61" s="8">
        <v>2.4700000000000002</v>
      </c>
      <c r="E61" s="12">
        <v>171</v>
      </c>
      <c r="F61" s="8">
        <v>4.04</v>
      </c>
      <c r="G61" s="12">
        <v>19</v>
      </c>
      <c r="H61" s="8">
        <v>0.55000000000000004</v>
      </c>
      <c r="I61" s="12">
        <v>0</v>
      </c>
    </row>
    <row r="62" spans="2:9" ht="15" customHeight="1" x14ac:dyDescent="0.15">
      <c r="B62" t="s">
        <v>128</v>
      </c>
      <c r="C62" s="12">
        <v>182</v>
      </c>
      <c r="D62" s="8">
        <v>2.37</v>
      </c>
      <c r="E62" s="12">
        <v>86</v>
      </c>
      <c r="F62" s="8">
        <v>2.0299999999999998</v>
      </c>
      <c r="G62" s="12">
        <v>96</v>
      </c>
      <c r="H62" s="8">
        <v>2.79</v>
      </c>
      <c r="I62" s="12">
        <v>0</v>
      </c>
    </row>
    <row r="63" spans="2:9" ht="15" customHeight="1" x14ac:dyDescent="0.15">
      <c r="B63" t="s">
        <v>133</v>
      </c>
      <c r="C63" s="12">
        <v>174</v>
      </c>
      <c r="D63" s="8">
        <v>2.27</v>
      </c>
      <c r="E63" s="12">
        <v>30</v>
      </c>
      <c r="F63" s="8">
        <v>0.71</v>
      </c>
      <c r="G63" s="12">
        <v>144</v>
      </c>
      <c r="H63" s="8">
        <v>4.1900000000000004</v>
      </c>
      <c r="I63" s="12">
        <v>0</v>
      </c>
    </row>
    <row r="64" spans="2:9" ht="15" customHeight="1" x14ac:dyDescent="0.15">
      <c r="B64" t="s">
        <v>137</v>
      </c>
      <c r="C64" s="12">
        <v>163</v>
      </c>
      <c r="D64" s="8">
        <v>2.12</v>
      </c>
      <c r="E64" s="12">
        <v>159</v>
      </c>
      <c r="F64" s="8">
        <v>3.76</v>
      </c>
      <c r="G64" s="12">
        <v>4</v>
      </c>
      <c r="H64" s="8">
        <v>0.12</v>
      </c>
      <c r="I64" s="12">
        <v>0</v>
      </c>
    </row>
    <row r="65" spans="2:9" ht="15" customHeight="1" x14ac:dyDescent="0.15">
      <c r="B65" t="s">
        <v>139</v>
      </c>
      <c r="C65" s="12">
        <v>145</v>
      </c>
      <c r="D65" s="8">
        <v>1.89</v>
      </c>
      <c r="E65" s="12">
        <v>68</v>
      </c>
      <c r="F65" s="8">
        <v>1.61</v>
      </c>
      <c r="G65" s="12">
        <v>77</v>
      </c>
      <c r="H65" s="8">
        <v>2.2400000000000002</v>
      </c>
      <c r="I65" s="12">
        <v>0</v>
      </c>
    </row>
    <row r="66" spans="2:9" ht="15" customHeight="1" x14ac:dyDescent="0.15">
      <c r="B66" t="s">
        <v>142</v>
      </c>
      <c r="C66" s="12">
        <v>119</v>
      </c>
      <c r="D66" s="8">
        <v>1.55</v>
      </c>
      <c r="E66" s="12">
        <v>76</v>
      </c>
      <c r="F66" s="8">
        <v>1.8</v>
      </c>
      <c r="G66" s="12">
        <v>42</v>
      </c>
      <c r="H66" s="8">
        <v>1.22</v>
      </c>
      <c r="I66" s="12">
        <v>1</v>
      </c>
    </row>
    <row r="67" spans="2:9" ht="15" customHeight="1" x14ac:dyDescent="0.15">
      <c r="B67" t="s">
        <v>129</v>
      </c>
      <c r="C67" s="12">
        <v>117</v>
      </c>
      <c r="D67" s="8">
        <v>1.52</v>
      </c>
      <c r="E67" s="12">
        <v>75</v>
      </c>
      <c r="F67" s="8">
        <v>1.77</v>
      </c>
      <c r="G67" s="12">
        <v>42</v>
      </c>
      <c r="H67" s="8">
        <v>1.22</v>
      </c>
      <c r="I67" s="12">
        <v>0</v>
      </c>
    </row>
    <row r="68" spans="2:9" ht="15" customHeight="1" x14ac:dyDescent="0.15">
      <c r="B68" t="s">
        <v>131</v>
      </c>
      <c r="C68" s="12">
        <v>106</v>
      </c>
      <c r="D68" s="8">
        <v>1.38</v>
      </c>
      <c r="E68" s="12">
        <v>48</v>
      </c>
      <c r="F68" s="8">
        <v>1.1299999999999999</v>
      </c>
      <c r="G68" s="12">
        <v>58</v>
      </c>
      <c r="H68" s="8">
        <v>1.69</v>
      </c>
      <c r="I68" s="12">
        <v>0</v>
      </c>
    </row>
    <row r="69" spans="2:9" ht="15" customHeight="1" x14ac:dyDescent="0.15">
      <c r="B69" t="s">
        <v>126</v>
      </c>
      <c r="C69" s="12">
        <v>98</v>
      </c>
      <c r="D69" s="8">
        <v>1.28</v>
      </c>
      <c r="E69" s="12">
        <v>10</v>
      </c>
      <c r="F69" s="8">
        <v>0.24</v>
      </c>
      <c r="G69" s="12">
        <v>88</v>
      </c>
      <c r="H69" s="8">
        <v>2.56</v>
      </c>
      <c r="I69" s="12">
        <v>0</v>
      </c>
    </row>
    <row r="70" spans="2:9" ht="15" customHeight="1" x14ac:dyDescent="0.15">
      <c r="B70" t="s">
        <v>147</v>
      </c>
      <c r="C70" s="12">
        <v>91</v>
      </c>
      <c r="D70" s="8">
        <v>1.19</v>
      </c>
      <c r="E70" s="12">
        <v>21</v>
      </c>
      <c r="F70" s="8">
        <v>0.5</v>
      </c>
      <c r="G70" s="12">
        <v>70</v>
      </c>
      <c r="H70" s="8">
        <v>2.04</v>
      </c>
      <c r="I70" s="12">
        <v>0</v>
      </c>
    </row>
    <row r="71" spans="2:9" ht="15" customHeight="1" x14ac:dyDescent="0.15">
      <c r="B71" t="s">
        <v>130</v>
      </c>
      <c r="C71" s="12">
        <v>89</v>
      </c>
      <c r="D71" s="8">
        <v>1.1599999999999999</v>
      </c>
      <c r="E71" s="12">
        <v>39</v>
      </c>
      <c r="F71" s="8">
        <v>0.92</v>
      </c>
      <c r="G71" s="12">
        <v>50</v>
      </c>
      <c r="H71" s="8">
        <v>1.46</v>
      </c>
      <c r="I71" s="12">
        <v>0</v>
      </c>
    </row>
    <row r="73" spans="2:9" ht="15" customHeight="1" x14ac:dyDescent="0.15">
      <c r="B73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817"/>
  <sheetViews>
    <sheetView workbookViewId="0"/>
  </sheetViews>
  <sheetFormatPr defaultRowHeight="13.5" x14ac:dyDescent="0.15"/>
  <cols>
    <col min="1" max="1" width="38.875" bestFit="1" customWidth="1"/>
    <col min="2" max="8" width="10.25" customWidth="1"/>
  </cols>
  <sheetData>
    <row r="1" spans="1:8" ht="37.5" customHeight="1" x14ac:dyDescent="0.15">
      <c r="A1" s="6" t="s">
        <v>66</v>
      </c>
      <c r="B1" s="7" t="s">
        <v>67</v>
      </c>
      <c r="C1" s="7" t="s">
        <v>68</v>
      </c>
      <c r="D1" s="7" t="s">
        <v>69</v>
      </c>
      <c r="E1" s="7" t="s">
        <v>70</v>
      </c>
      <c r="F1" s="7" t="s">
        <v>71</v>
      </c>
      <c r="G1" s="7" t="s">
        <v>72</v>
      </c>
      <c r="H1" s="7" t="s">
        <v>73</v>
      </c>
    </row>
    <row r="2" spans="1:8" x14ac:dyDescent="0.15">
      <c r="A2" s="1" t="s">
        <v>0</v>
      </c>
      <c r="B2" s="4">
        <v>123752</v>
      </c>
      <c r="C2" s="5">
        <v>100.01</v>
      </c>
      <c r="D2" s="4">
        <v>73820</v>
      </c>
      <c r="E2" s="5">
        <v>99.999999999999986</v>
      </c>
      <c r="F2" s="4">
        <v>49679</v>
      </c>
      <c r="G2" s="5">
        <v>100.01</v>
      </c>
      <c r="H2" s="4">
        <v>253</v>
      </c>
    </row>
    <row r="3" spans="1:8" x14ac:dyDescent="0.15">
      <c r="A3" s="2" t="s">
        <v>51</v>
      </c>
      <c r="B3" s="4">
        <v>10</v>
      </c>
      <c r="C3" s="5">
        <v>0.01</v>
      </c>
      <c r="D3" s="4">
        <v>1</v>
      </c>
      <c r="E3" s="5">
        <v>0</v>
      </c>
      <c r="F3" s="4">
        <v>9</v>
      </c>
      <c r="G3" s="5">
        <v>0.02</v>
      </c>
      <c r="H3" s="4">
        <v>0</v>
      </c>
    </row>
    <row r="4" spans="1:8" x14ac:dyDescent="0.15">
      <c r="A4" s="2" t="s">
        <v>52</v>
      </c>
      <c r="B4" s="4">
        <v>14083</v>
      </c>
      <c r="C4" s="5">
        <v>11.38</v>
      </c>
      <c r="D4" s="4">
        <v>5311</v>
      </c>
      <c r="E4" s="5">
        <v>7.19</v>
      </c>
      <c r="F4" s="4">
        <v>8770</v>
      </c>
      <c r="G4" s="5">
        <v>17.649999999999999</v>
      </c>
      <c r="H4" s="4">
        <v>2</v>
      </c>
    </row>
    <row r="5" spans="1:8" x14ac:dyDescent="0.15">
      <c r="A5" s="2" t="s">
        <v>53</v>
      </c>
      <c r="B5" s="4">
        <v>11888</v>
      </c>
      <c r="C5" s="5">
        <v>9.61</v>
      </c>
      <c r="D5" s="4">
        <v>6000</v>
      </c>
      <c r="E5" s="5">
        <v>8.1300000000000008</v>
      </c>
      <c r="F5" s="4">
        <v>5876</v>
      </c>
      <c r="G5" s="5">
        <v>11.83</v>
      </c>
      <c r="H5" s="4">
        <v>12</v>
      </c>
    </row>
    <row r="6" spans="1:8" x14ac:dyDescent="0.15">
      <c r="A6" s="2" t="s">
        <v>54</v>
      </c>
      <c r="B6" s="4">
        <v>34</v>
      </c>
      <c r="C6" s="5">
        <v>0.03</v>
      </c>
      <c r="D6" s="4">
        <v>1</v>
      </c>
      <c r="E6" s="5">
        <v>0</v>
      </c>
      <c r="F6" s="4">
        <v>33</v>
      </c>
      <c r="G6" s="5">
        <v>7.0000000000000007E-2</v>
      </c>
      <c r="H6" s="4">
        <v>0</v>
      </c>
    </row>
    <row r="7" spans="1:8" x14ac:dyDescent="0.15">
      <c r="A7" s="2" t="s">
        <v>55</v>
      </c>
      <c r="B7" s="4">
        <v>847</v>
      </c>
      <c r="C7" s="5">
        <v>0.68</v>
      </c>
      <c r="D7" s="4">
        <v>80</v>
      </c>
      <c r="E7" s="5">
        <v>0.11</v>
      </c>
      <c r="F7" s="4">
        <v>764</v>
      </c>
      <c r="G7" s="5">
        <v>1.54</v>
      </c>
      <c r="H7" s="4">
        <v>3</v>
      </c>
    </row>
    <row r="8" spans="1:8" x14ac:dyDescent="0.15">
      <c r="A8" s="2" t="s">
        <v>56</v>
      </c>
      <c r="B8" s="4">
        <v>1461</v>
      </c>
      <c r="C8" s="5">
        <v>1.18</v>
      </c>
      <c r="D8" s="4">
        <v>392</v>
      </c>
      <c r="E8" s="5">
        <v>0.53</v>
      </c>
      <c r="F8" s="4">
        <v>1058</v>
      </c>
      <c r="G8" s="5">
        <v>2.13</v>
      </c>
      <c r="H8" s="4">
        <v>11</v>
      </c>
    </row>
    <row r="9" spans="1:8" x14ac:dyDescent="0.15">
      <c r="A9" s="2" t="s">
        <v>57</v>
      </c>
      <c r="B9" s="4">
        <v>30921</v>
      </c>
      <c r="C9" s="5">
        <v>24.99</v>
      </c>
      <c r="D9" s="4">
        <v>16789</v>
      </c>
      <c r="E9" s="5">
        <v>22.74</v>
      </c>
      <c r="F9" s="4">
        <v>14090</v>
      </c>
      <c r="G9" s="5">
        <v>28.36</v>
      </c>
      <c r="H9" s="4">
        <v>42</v>
      </c>
    </row>
    <row r="10" spans="1:8" x14ac:dyDescent="0.15">
      <c r="A10" s="2" t="s">
        <v>58</v>
      </c>
      <c r="B10" s="4">
        <v>732</v>
      </c>
      <c r="C10" s="5">
        <v>0.59</v>
      </c>
      <c r="D10" s="4">
        <v>168</v>
      </c>
      <c r="E10" s="5">
        <v>0.23</v>
      </c>
      <c r="F10" s="4">
        <v>563</v>
      </c>
      <c r="G10" s="5">
        <v>1.1299999999999999</v>
      </c>
      <c r="H10" s="4">
        <v>1</v>
      </c>
    </row>
    <row r="11" spans="1:8" x14ac:dyDescent="0.15">
      <c r="A11" s="2" t="s">
        <v>59</v>
      </c>
      <c r="B11" s="4">
        <v>11102</v>
      </c>
      <c r="C11" s="5">
        <v>8.9700000000000006</v>
      </c>
      <c r="D11" s="4">
        <v>4412</v>
      </c>
      <c r="E11" s="5">
        <v>5.98</v>
      </c>
      <c r="F11" s="4">
        <v>6666</v>
      </c>
      <c r="G11" s="5">
        <v>13.42</v>
      </c>
      <c r="H11" s="4">
        <v>24</v>
      </c>
    </row>
    <row r="12" spans="1:8" x14ac:dyDescent="0.15">
      <c r="A12" s="2" t="s">
        <v>60</v>
      </c>
      <c r="B12" s="4">
        <v>5765</v>
      </c>
      <c r="C12" s="5">
        <v>4.66</v>
      </c>
      <c r="D12" s="4">
        <v>3609</v>
      </c>
      <c r="E12" s="5">
        <v>4.8899999999999997</v>
      </c>
      <c r="F12" s="4">
        <v>2151</v>
      </c>
      <c r="G12" s="5">
        <v>4.33</v>
      </c>
      <c r="H12" s="4">
        <v>5</v>
      </c>
    </row>
    <row r="13" spans="1:8" x14ac:dyDescent="0.15">
      <c r="A13" s="2" t="s">
        <v>61</v>
      </c>
      <c r="B13" s="4">
        <v>18817</v>
      </c>
      <c r="C13" s="5">
        <v>15.21</v>
      </c>
      <c r="D13" s="4">
        <v>16694</v>
      </c>
      <c r="E13" s="5">
        <v>22.61</v>
      </c>
      <c r="F13" s="4">
        <v>2109</v>
      </c>
      <c r="G13" s="5">
        <v>4.25</v>
      </c>
      <c r="H13" s="4">
        <v>14</v>
      </c>
    </row>
    <row r="14" spans="1:8" x14ac:dyDescent="0.15">
      <c r="A14" s="2" t="s">
        <v>62</v>
      </c>
      <c r="B14" s="4">
        <v>14239</v>
      </c>
      <c r="C14" s="5">
        <v>11.51</v>
      </c>
      <c r="D14" s="4">
        <v>11284</v>
      </c>
      <c r="E14" s="5">
        <v>15.29</v>
      </c>
      <c r="F14" s="4">
        <v>2940</v>
      </c>
      <c r="G14" s="5">
        <v>5.92</v>
      </c>
      <c r="H14" s="4">
        <v>15</v>
      </c>
    </row>
    <row r="15" spans="1:8" x14ac:dyDescent="0.15">
      <c r="A15" s="2" t="s">
        <v>63</v>
      </c>
      <c r="B15" s="4">
        <v>5015</v>
      </c>
      <c r="C15" s="5">
        <v>4.05</v>
      </c>
      <c r="D15" s="4">
        <v>3835</v>
      </c>
      <c r="E15" s="5">
        <v>5.2</v>
      </c>
      <c r="F15" s="4">
        <v>1144</v>
      </c>
      <c r="G15" s="5">
        <v>2.2999999999999998</v>
      </c>
      <c r="H15" s="4">
        <v>36</v>
      </c>
    </row>
    <row r="16" spans="1:8" x14ac:dyDescent="0.15">
      <c r="A16" s="2" t="s">
        <v>64</v>
      </c>
      <c r="B16" s="4">
        <v>5332</v>
      </c>
      <c r="C16" s="5">
        <v>4.3099999999999996</v>
      </c>
      <c r="D16" s="4">
        <v>3709</v>
      </c>
      <c r="E16" s="5">
        <v>5.0199999999999996</v>
      </c>
      <c r="F16" s="4">
        <v>1605</v>
      </c>
      <c r="G16" s="5">
        <v>3.23</v>
      </c>
      <c r="H16" s="4">
        <v>18</v>
      </c>
    </row>
    <row r="17" spans="1:8" x14ac:dyDescent="0.15">
      <c r="A17" s="2" t="s">
        <v>65</v>
      </c>
      <c r="B17" s="4">
        <v>3506</v>
      </c>
      <c r="C17" s="5">
        <v>2.83</v>
      </c>
      <c r="D17" s="4">
        <v>1535</v>
      </c>
      <c r="E17" s="5">
        <v>2.08</v>
      </c>
      <c r="F17" s="4">
        <v>1901</v>
      </c>
      <c r="G17" s="5">
        <v>3.83</v>
      </c>
      <c r="H17" s="4">
        <v>70</v>
      </c>
    </row>
    <row r="18" spans="1:8" x14ac:dyDescent="0.15">
      <c r="A18" s="1" t="s">
        <v>1</v>
      </c>
      <c r="B18" s="4">
        <v>37363</v>
      </c>
      <c r="C18" s="5">
        <v>100</v>
      </c>
      <c r="D18" s="4">
        <v>20630</v>
      </c>
      <c r="E18" s="5">
        <v>100.02</v>
      </c>
      <c r="F18" s="4">
        <v>16665</v>
      </c>
      <c r="G18" s="5">
        <v>99.97999999999999</v>
      </c>
      <c r="H18" s="4">
        <v>68</v>
      </c>
    </row>
    <row r="19" spans="1:8" x14ac:dyDescent="0.15">
      <c r="A19" s="2" t="s">
        <v>51</v>
      </c>
      <c r="B19" s="4">
        <v>0</v>
      </c>
      <c r="C19" s="5">
        <v>0</v>
      </c>
      <c r="D19" s="4">
        <v>0</v>
      </c>
      <c r="E19" s="5">
        <v>0</v>
      </c>
      <c r="F19" s="4">
        <v>0</v>
      </c>
      <c r="G19" s="5">
        <v>0</v>
      </c>
      <c r="H19" s="4">
        <v>0</v>
      </c>
    </row>
    <row r="20" spans="1:8" x14ac:dyDescent="0.15">
      <c r="A20" s="2" t="s">
        <v>52</v>
      </c>
      <c r="B20" s="4">
        <v>3007</v>
      </c>
      <c r="C20" s="5">
        <v>8.0500000000000007</v>
      </c>
      <c r="D20" s="4">
        <v>715</v>
      </c>
      <c r="E20" s="5">
        <v>3.47</v>
      </c>
      <c r="F20" s="4">
        <v>2290</v>
      </c>
      <c r="G20" s="5">
        <v>13.74</v>
      </c>
      <c r="H20" s="4">
        <v>2</v>
      </c>
    </row>
    <row r="21" spans="1:8" x14ac:dyDescent="0.15">
      <c r="A21" s="2" t="s">
        <v>53</v>
      </c>
      <c r="B21" s="4">
        <v>2644</v>
      </c>
      <c r="C21" s="5">
        <v>7.08</v>
      </c>
      <c r="D21" s="4">
        <v>1175</v>
      </c>
      <c r="E21" s="5">
        <v>5.7</v>
      </c>
      <c r="F21" s="4">
        <v>1467</v>
      </c>
      <c r="G21" s="5">
        <v>8.8000000000000007</v>
      </c>
      <c r="H21" s="4">
        <v>2</v>
      </c>
    </row>
    <row r="22" spans="1:8" x14ac:dyDescent="0.15">
      <c r="A22" s="2" t="s">
        <v>54</v>
      </c>
      <c r="B22" s="4">
        <v>12</v>
      </c>
      <c r="C22" s="5">
        <v>0.03</v>
      </c>
      <c r="D22" s="4">
        <v>0</v>
      </c>
      <c r="E22" s="5">
        <v>0</v>
      </c>
      <c r="F22" s="4">
        <v>12</v>
      </c>
      <c r="G22" s="5">
        <v>7.0000000000000007E-2</v>
      </c>
      <c r="H22" s="4">
        <v>0</v>
      </c>
    </row>
    <row r="23" spans="1:8" x14ac:dyDescent="0.15">
      <c r="A23" s="2" t="s">
        <v>55</v>
      </c>
      <c r="B23" s="4">
        <v>386</v>
      </c>
      <c r="C23" s="5">
        <v>1.03</v>
      </c>
      <c r="D23" s="4">
        <v>33</v>
      </c>
      <c r="E23" s="5">
        <v>0.16</v>
      </c>
      <c r="F23" s="4">
        <v>351</v>
      </c>
      <c r="G23" s="5">
        <v>2.11</v>
      </c>
      <c r="H23" s="4">
        <v>2</v>
      </c>
    </row>
    <row r="24" spans="1:8" x14ac:dyDescent="0.15">
      <c r="A24" s="2" t="s">
        <v>56</v>
      </c>
      <c r="B24" s="4">
        <v>657</v>
      </c>
      <c r="C24" s="5">
        <v>1.76</v>
      </c>
      <c r="D24" s="4">
        <v>195</v>
      </c>
      <c r="E24" s="5">
        <v>0.95</v>
      </c>
      <c r="F24" s="4">
        <v>462</v>
      </c>
      <c r="G24" s="5">
        <v>2.77</v>
      </c>
      <c r="H24" s="4">
        <v>0</v>
      </c>
    </row>
    <row r="25" spans="1:8" x14ac:dyDescent="0.15">
      <c r="A25" s="2" t="s">
        <v>57</v>
      </c>
      <c r="B25" s="4">
        <v>9364</v>
      </c>
      <c r="C25" s="5">
        <v>25.06</v>
      </c>
      <c r="D25" s="4">
        <v>4346</v>
      </c>
      <c r="E25" s="5">
        <v>21.07</v>
      </c>
      <c r="F25" s="4">
        <v>5011</v>
      </c>
      <c r="G25" s="5">
        <v>30.07</v>
      </c>
      <c r="H25" s="4">
        <v>7</v>
      </c>
    </row>
    <row r="26" spans="1:8" x14ac:dyDescent="0.15">
      <c r="A26" s="2" t="s">
        <v>58</v>
      </c>
      <c r="B26" s="4">
        <v>200</v>
      </c>
      <c r="C26" s="5">
        <v>0.54</v>
      </c>
      <c r="D26" s="4">
        <v>26</v>
      </c>
      <c r="E26" s="5">
        <v>0.13</v>
      </c>
      <c r="F26" s="4">
        <v>174</v>
      </c>
      <c r="G26" s="5">
        <v>1.04</v>
      </c>
      <c r="H26" s="4">
        <v>0</v>
      </c>
    </row>
    <row r="27" spans="1:8" x14ac:dyDescent="0.15">
      <c r="A27" s="2" t="s">
        <v>59</v>
      </c>
      <c r="B27" s="4">
        <v>3825</v>
      </c>
      <c r="C27" s="5">
        <v>10.24</v>
      </c>
      <c r="D27" s="4">
        <v>1313</v>
      </c>
      <c r="E27" s="5">
        <v>6.36</v>
      </c>
      <c r="F27" s="4">
        <v>2502</v>
      </c>
      <c r="G27" s="5">
        <v>15.01</v>
      </c>
      <c r="H27" s="4">
        <v>10</v>
      </c>
    </row>
    <row r="28" spans="1:8" x14ac:dyDescent="0.15">
      <c r="A28" s="2" t="s">
        <v>60</v>
      </c>
      <c r="B28" s="4">
        <v>2239</v>
      </c>
      <c r="C28" s="5">
        <v>5.99</v>
      </c>
      <c r="D28" s="4">
        <v>1327</v>
      </c>
      <c r="E28" s="5">
        <v>6.43</v>
      </c>
      <c r="F28" s="4">
        <v>907</v>
      </c>
      <c r="G28" s="5">
        <v>5.44</v>
      </c>
      <c r="H28" s="4">
        <v>5</v>
      </c>
    </row>
    <row r="29" spans="1:8" x14ac:dyDescent="0.15">
      <c r="A29" s="2" t="s">
        <v>61</v>
      </c>
      <c r="B29" s="4">
        <v>6842</v>
      </c>
      <c r="C29" s="5">
        <v>18.309999999999999</v>
      </c>
      <c r="D29" s="4">
        <v>6047</v>
      </c>
      <c r="E29" s="5">
        <v>29.31</v>
      </c>
      <c r="F29" s="4">
        <v>795</v>
      </c>
      <c r="G29" s="5">
        <v>4.7699999999999996</v>
      </c>
      <c r="H29" s="4">
        <v>0</v>
      </c>
    </row>
    <row r="30" spans="1:8" x14ac:dyDescent="0.15">
      <c r="A30" s="2" t="s">
        <v>62</v>
      </c>
      <c r="B30" s="4">
        <v>3913</v>
      </c>
      <c r="C30" s="5">
        <v>10.47</v>
      </c>
      <c r="D30" s="4">
        <v>2904</v>
      </c>
      <c r="E30" s="5">
        <v>14.08</v>
      </c>
      <c r="F30" s="4">
        <v>1005</v>
      </c>
      <c r="G30" s="5">
        <v>6.03</v>
      </c>
      <c r="H30" s="4">
        <v>4</v>
      </c>
    </row>
    <row r="31" spans="1:8" x14ac:dyDescent="0.15">
      <c r="A31" s="2" t="s">
        <v>63</v>
      </c>
      <c r="B31" s="4">
        <v>1390</v>
      </c>
      <c r="C31" s="5">
        <v>3.72</v>
      </c>
      <c r="D31" s="4">
        <v>1002</v>
      </c>
      <c r="E31" s="5">
        <v>4.8600000000000003</v>
      </c>
      <c r="F31" s="4">
        <v>373</v>
      </c>
      <c r="G31" s="5">
        <v>2.2400000000000002</v>
      </c>
      <c r="H31" s="4">
        <v>15</v>
      </c>
    </row>
    <row r="32" spans="1:8" x14ac:dyDescent="0.15">
      <c r="A32" s="2" t="s">
        <v>64</v>
      </c>
      <c r="B32" s="4">
        <v>1773</v>
      </c>
      <c r="C32" s="5">
        <v>4.75</v>
      </c>
      <c r="D32" s="4">
        <v>1147</v>
      </c>
      <c r="E32" s="5">
        <v>5.56</v>
      </c>
      <c r="F32" s="4">
        <v>617</v>
      </c>
      <c r="G32" s="5">
        <v>3.7</v>
      </c>
      <c r="H32" s="4">
        <v>9</v>
      </c>
    </row>
    <row r="33" spans="1:8" x14ac:dyDescent="0.15">
      <c r="A33" s="2" t="s">
        <v>65</v>
      </c>
      <c r="B33" s="4">
        <v>1111</v>
      </c>
      <c r="C33" s="5">
        <v>2.97</v>
      </c>
      <c r="D33" s="4">
        <v>400</v>
      </c>
      <c r="E33" s="5">
        <v>1.94</v>
      </c>
      <c r="F33" s="4">
        <v>699</v>
      </c>
      <c r="G33" s="5">
        <v>4.1900000000000004</v>
      </c>
      <c r="H33" s="4">
        <v>12</v>
      </c>
    </row>
    <row r="34" spans="1:8" x14ac:dyDescent="0.15">
      <c r="A34" s="1" t="s">
        <v>2</v>
      </c>
      <c r="B34" s="4">
        <v>3952</v>
      </c>
      <c r="C34" s="5">
        <v>99.99</v>
      </c>
      <c r="D34" s="4">
        <v>1869</v>
      </c>
      <c r="E34" s="5">
        <v>99.99</v>
      </c>
      <c r="F34" s="4">
        <v>2069</v>
      </c>
      <c r="G34" s="5">
        <v>99.990000000000009</v>
      </c>
      <c r="H34" s="4">
        <v>14</v>
      </c>
    </row>
    <row r="35" spans="1:8" x14ac:dyDescent="0.15">
      <c r="A35" s="2" t="s">
        <v>51</v>
      </c>
      <c r="B35" s="4">
        <v>0</v>
      </c>
      <c r="C35" s="5">
        <v>0</v>
      </c>
      <c r="D35" s="4">
        <v>0</v>
      </c>
      <c r="E35" s="5">
        <v>0</v>
      </c>
      <c r="F35" s="4">
        <v>0</v>
      </c>
      <c r="G35" s="5">
        <v>0</v>
      </c>
      <c r="H35" s="4">
        <v>0</v>
      </c>
    </row>
    <row r="36" spans="1:8" x14ac:dyDescent="0.15">
      <c r="A36" s="2" t="s">
        <v>52</v>
      </c>
      <c r="B36" s="4">
        <v>308</v>
      </c>
      <c r="C36" s="5">
        <v>7.79</v>
      </c>
      <c r="D36" s="4">
        <v>63</v>
      </c>
      <c r="E36" s="5">
        <v>3.37</v>
      </c>
      <c r="F36" s="4">
        <v>244</v>
      </c>
      <c r="G36" s="5">
        <v>11.79</v>
      </c>
      <c r="H36" s="4">
        <v>1</v>
      </c>
    </row>
    <row r="37" spans="1:8" x14ac:dyDescent="0.15">
      <c r="A37" s="2" t="s">
        <v>53</v>
      </c>
      <c r="B37" s="4">
        <v>173</v>
      </c>
      <c r="C37" s="5">
        <v>4.38</v>
      </c>
      <c r="D37" s="4">
        <v>43</v>
      </c>
      <c r="E37" s="5">
        <v>2.2999999999999998</v>
      </c>
      <c r="F37" s="4">
        <v>130</v>
      </c>
      <c r="G37" s="5">
        <v>6.28</v>
      </c>
      <c r="H37" s="4">
        <v>0</v>
      </c>
    </row>
    <row r="38" spans="1:8" x14ac:dyDescent="0.15">
      <c r="A38" s="2" t="s">
        <v>54</v>
      </c>
      <c r="B38" s="4">
        <v>2</v>
      </c>
      <c r="C38" s="5">
        <v>0.05</v>
      </c>
      <c r="D38" s="4">
        <v>0</v>
      </c>
      <c r="E38" s="5">
        <v>0</v>
      </c>
      <c r="F38" s="4">
        <v>2</v>
      </c>
      <c r="G38" s="5">
        <v>0.1</v>
      </c>
      <c r="H38" s="4">
        <v>0</v>
      </c>
    </row>
    <row r="39" spans="1:8" x14ac:dyDescent="0.15">
      <c r="A39" s="2" t="s">
        <v>55</v>
      </c>
      <c r="B39" s="4">
        <v>50</v>
      </c>
      <c r="C39" s="5">
        <v>1.27</v>
      </c>
      <c r="D39" s="4">
        <v>0</v>
      </c>
      <c r="E39" s="5">
        <v>0</v>
      </c>
      <c r="F39" s="4">
        <v>49</v>
      </c>
      <c r="G39" s="5">
        <v>2.37</v>
      </c>
      <c r="H39" s="4">
        <v>1</v>
      </c>
    </row>
    <row r="40" spans="1:8" x14ac:dyDescent="0.15">
      <c r="A40" s="2" t="s">
        <v>56</v>
      </c>
      <c r="B40" s="4">
        <v>122</v>
      </c>
      <c r="C40" s="5">
        <v>3.09</v>
      </c>
      <c r="D40" s="4">
        <v>11</v>
      </c>
      <c r="E40" s="5">
        <v>0.59</v>
      </c>
      <c r="F40" s="4">
        <v>111</v>
      </c>
      <c r="G40" s="5">
        <v>5.36</v>
      </c>
      <c r="H40" s="4">
        <v>0</v>
      </c>
    </row>
    <row r="41" spans="1:8" x14ac:dyDescent="0.15">
      <c r="A41" s="2" t="s">
        <v>57</v>
      </c>
      <c r="B41" s="4">
        <v>955</v>
      </c>
      <c r="C41" s="5">
        <v>24.16</v>
      </c>
      <c r="D41" s="4">
        <v>428</v>
      </c>
      <c r="E41" s="5">
        <v>22.9</v>
      </c>
      <c r="F41" s="4">
        <v>524</v>
      </c>
      <c r="G41" s="5">
        <v>25.33</v>
      </c>
      <c r="H41" s="4">
        <v>3</v>
      </c>
    </row>
    <row r="42" spans="1:8" x14ac:dyDescent="0.15">
      <c r="A42" s="2" t="s">
        <v>58</v>
      </c>
      <c r="B42" s="4">
        <v>14</v>
      </c>
      <c r="C42" s="5">
        <v>0.35</v>
      </c>
      <c r="D42" s="4">
        <v>2</v>
      </c>
      <c r="E42" s="5">
        <v>0.11</v>
      </c>
      <c r="F42" s="4">
        <v>12</v>
      </c>
      <c r="G42" s="5">
        <v>0.57999999999999996</v>
      </c>
      <c r="H42" s="4">
        <v>0</v>
      </c>
    </row>
    <row r="43" spans="1:8" x14ac:dyDescent="0.15">
      <c r="A43" s="2" t="s">
        <v>59</v>
      </c>
      <c r="B43" s="4">
        <v>434</v>
      </c>
      <c r="C43" s="5">
        <v>10.98</v>
      </c>
      <c r="D43" s="4">
        <v>88</v>
      </c>
      <c r="E43" s="5">
        <v>4.71</v>
      </c>
      <c r="F43" s="4">
        <v>346</v>
      </c>
      <c r="G43" s="5">
        <v>16.72</v>
      </c>
      <c r="H43" s="4">
        <v>0</v>
      </c>
    </row>
    <row r="44" spans="1:8" x14ac:dyDescent="0.15">
      <c r="A44" s="2" t="s">
        <v>60</v>
      </c>
      <c r="B44" s="4">
        <v>234</v>
      </c>
      <c r="C44" s="5">
        <v>5.92</v>
      </c>
      <c r="D44" s="4">
        <v>103</v>
      </c>
      <c r="E44" s="5">
        <v>5.51</v>
      </c>
      <c r="F44" s="4">
        <v>131</v>
      </c>
      <c r="G44" s="5">
        <v>6.33</v>
      </c>
      <c r="H44" s="4">
        <v>0</v>
      </c>
    </row>
    <row r="45" spans="1:8" x14ac:dyDescent="0.15">
      <c r="A45" s="2" t="s">
        <v>61</v>
      </c>
      <c r="B45" s="4">
        <v>538</v>
      </c>
      <c r="C45" s="5">
        <v>13.61</v>
      </c>
      <c r="D45" s="4">
        <v>432</v>
      </c>
      <c r="E45" s="5">
        <v>23.11</v>
      </c>
      <c r="F45" s="4">
        <v>106</v>
      </c>
      <c r="G45" s="5">
        <v>5.12</v>
      </c>
      <c r="H45" s="4">
        <v>0</v>
      </c>
    </row>
    <row r="46" spans="1:8" x14ac:dyDescent="0.15">
      <c r="A46" s="2" t="s">
        <v>62</v>
      </c>
      <c r="B46" s="4">
        <v>507</v>
      </c>
      <c r="C46" s="5">
        <v>12.83</v>
      </c>
      <c r="D46" s="4">
        <v>351</v>
      </c>
      <c r="E46" s="5">
        <v>18.78</v>
      </c>
      <c r="F46" s="4">
        <v>156</v>
      </c>
      <c r="G46" s="5">
        <v>7.54</v>
      </c>
      <c r="H46" s="4">
        <v>0</v>
      </c>
    </row>
    <row r="47" spans="1:8" x14ac:dyDescent="0.15">
      <c r="A47" s="2" t="s">
        <v>63</v>
      </c>
      <c r="B47" s="4">
        <v>232</v>
      </c>
      <c r="C47" s="5">
        <v>5.87</v>
      </c>
      <c r="D47" s="4">
        <v>144</v>
      </c>
      <c r="E47" s="5">
        <v>7.7</v>
      </c>
      <c r="F47" s="4">
        <v>83</v>
      </c>
      <c r="G47" s="5">
        <v>4.01</v>
      </c>
      <c r="H47" s="4">
        <v>5</v>
      </c>
    </row>
    <row r="48" spans="1:8" x14ac:dyDescent="0.15">
      <c r="A48" s="2" t="s">
        <v>64</v>
      </c>
      <c r="B48" s="4">
        <v>241</v>
      </c>
      <c r="C48" s="5">
        <v>6.1</v>
      </c>
      <c r="D48" s="4">
        <v>161</v>
      </c>
      <c r="E48" s="5">
        <v>8.61</v>
      </c>
      <c r="F48" s="4">
        <v>79</v>
      </c>
      <c r="G48" s="5">
        <v>3.82</v>
      </c>
      <c r="H48" s="4">
        <v>1</v>
      </c>
    </row>
    <row r="49" spans="1:8" x14ac:dyDescent="0.15">
      <c r="A49" s="2" t="s">
        <v>65</v>
      </c>
      <c r="B49" s="4">
        <v>142</v>
      </c>
      <c r="C49" s="5">
        <v>3.59</v>
      </c>
      <c r="D49" s="4">
        <v>43</v>
      </c>
      <c r="E49" s="5">
        <v>2.2999999999999998</v>
      </c>
      <c r="F49" s="4">
        <v>96</v>
      </c>
      <c r="G49" s="5">
        <v>4.6399999999999997</v>
      </c>
      <c r="H49" s="4">
        <v>3</v>
      </c>
    </row>
    <row r="50" spans="1:8" x14ac:dyDescent="0.15">
      <c r="A50" s="1" t="s">
        <v>3</v>
      </c>
      <c r="B50" s="4">
        <v>3245</v>
      </c>
      <c r="C50" s="5">
        <v>100</v>
      </c>
      <c r="D50" s="4">
        <v>1925</v>
      </c>
      <c r="E50" s="5">
        <v>100</v>
      </c>
      <c r="F50" s="4">
        <v>1319</v>
      </c>
      <c r="G50" s="5">
        <v>100.02000000000001</v>
      </c>
      <c r="H50" s="4">
        <v>1</v>
      </c>
    </row>
    <row r="51" spans="1:8" x14ac:dyDescent="0.15">
      <c r="A51" s="2" t="s">
        <v>51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15">
      <c r="A52" s="2" t="s">
        <v>52</v>
      </c>
      <c r="B52" s="4">
        <v>295</v>
      </c>
      <c r="C52" s="5">
        <v>9.09</v>
      </c>
      <c r="D52" s="4">
        <v>66</v>
      </c>
      <c r="E52" s="5">
        <v>3.43</v>
      </c>
      <c r="F52" s="4">
        <v>229</v>
      </c>
      <c r="G52" s="5">
        <v>17.36</v>
      </c>
      <c r="H52" s="4">
        <v>0</v>
      </c>
    </row>
    <row r="53" spans="1:8" x14ac:dyDescent="0.15">
      <c r="A53" s="2" t="s">
        <v>53</v>
      </c>
      <c r="B53" s="4">
        <v>117</v>
      </c>
      <c r="C53" s="5">
        <v>3.61</v>
      </c>
      <c r="D53" s="4">
        <v>43</v>
      </c>
      <c r="E53" s="5">
        <v>2.23</v>
      </c>
      <c r="F53" s="4">
        <v>74</v>
      </c>
      <c r="G53" s="5">
        <v>5.61</v>
      </c>
      <c r="H53" s="4">
        <v>0</v>
      </c>
    </row>
    <row r="54" spans="1:8" x14ac:dyDescent="0.15">
      <c r="A54" s="2" t="s">
        <v>54</v>
      </c>
      <c r="B54" s="4">
        <v>1</v>
      </c>
      <c r="C54" s="5">
        <v>0.03</v>
      </c>
      <c r="D54" s="4">
        <v>0</v>
      </c>
      <c r="E54" s="5">
        <v>0</v>
      </c>
      <c r="F54" s="4">
        <v>1</v>
      </c>
      <c r="G54" s="5">
        <v>0.08</v>
      </c>
      <c r="H54" s="4">
        <v>0</v>
      </c>
    </row>
    <row r="55" spans="1:8" x14ac:dyDescent="0.15">
      <c r="A55" s="2" t="s">
        <v>55</v>
      </c>
      <c r="B55" s="4">
        <v>27</v>
      </c>
      <c r="C55" s="5">
        <v>0.83</v>
      </c>
      <c r="D55" s="4">
        <v>2</v>
      </c>
      <c r="E55" s="5">
        <v>0.1</v>
      </c>
      <c r="F55" s="4">
        <v>25</v>
      </c>
      <c r="G55" s="5">
        <v>1.9</v>
      </c>
      <c r="H55" s="4">
        <v>0</v>
      </c>
    </row>
    <row r="56" spans="1:8" x14ac:dyDescent="0.15">
      <c r="A56" s="2" t="s">
        <v>56</v>
      </c>
      <c r="B56" s="4">
        <v>44</v>
      </c>
      <c r="C56" s="5">
        <v>1.36</v>
      </c>
      <c r="D56" s="4">
        <v>13</v>
      </c>
      <c r="E56" s="5">
        <v>0.68</v>
      </c>
      <c r="F56" s="4">
        <v>31</v>
      </c>
      <c r="G56" s="5">
        <v>2.35</v>
      </c>
      <c r="H56" s="4">
        <v>0</v>
      </c>
    </row>
    <row r="57" spans="1:8" x14ac:dyDescent="0.15">
      <c r="A57" s="2" t="s">
        <v>57</v>
      </c>
      <c r="B57" s="4">
        <v>837</v>
      </c>
      <c r="C57" s="5">
        <v>25.79</v>
      </c>
      <c r="D57" s="4">
        <v>483</v>
      </c>
      <c r="E57" s="5">
        <v>25.09</v>
      </c>
      <c r="F57" s="4">
        <v>354</v>
      </c>
      <c r="G57" s="5">
        <v>26.84</v>
      </c>
      <c r="H57" s="4">
        <v>0</v>
      </c>
    </row>
    <row r="58" spans="1:8" x14ac:dyDescent="0.15">
      <c r="A58" s="2" t="s">
        <v>58</v>
      </c>
      <c r="B58" s="4">
        <v>13</v>
      </c>
      <c r="C58" s="5">
        <v>0.4</v>
      </c>
      <c r="D58" s="4">
        <v>5</v>
      </c>
      <c r="E58" s="5">
        <v>0.26</v>
      </c>
      <c r="F58" s="4">
        <v>8</v>
      </c>
      <c r="G58" s="5">
        <v>0.61</v>
      </c>
      <c r="H58" s="4">
        <v>0</v>
      </c>
    </row>
    <row r="59" spans="1:8" x14ac:dyDescent="0.15">
      <c r="A59" s="2" t="s">
        <v>59</v>
      </c>
      <c r="B59" s="4">
        <v>365</v>
      </c>
      <c r="C59" s="5">
        <v>11.25</v>
      </c>
      <c r="D59" s="4">
        <v>125</v>
      </c>
      <c r="E59" s="5">
        <v>6.49</v>
      </c>
      <c r="F59" s="4">
        <v>240</v>
      </c>
      <c r="G59" s="5">
        <v>18.2</v>
      </c>
      <c r="H59" s="4">
        <v>0</v>
      </c>
    </row>
    <row r="60" spans="1:8" x14ac:dyDescent="0.15">
      <c r="A60" s="2" t="s">
        <v>60</v>
      </c>
      <c r="B60" s="4">
        <v>138</v>
      </c>
      <c r="C60" s="5">
        <v>4.25</v>
      </c>
      <c r="D60" s="4">
        <v>88</v>
      </c>
      <c r="E60" s="5">
        <v>4.57</v>
      </c>
      <c r="F60" s="4">
        <v>49</v>
      </c>
      <c r="G60" s="5">
        <v>3.71</v>
      </c>
      <c r="H60" s="4">
        <v>1</v>
      </c>
    </row>
    <row r="61" spans="1:8" x14ac:dyDescent="0.15">
      <c r="A61" s="2" t="s">
        <v>61</v>
      </c>
      <c r="B61" s="4">
        <v>582</v>
      </c>
      <c r="C61" s="5">
        <v>17.940000000000001</v>
      </c>
      <c r="D61" s="4">
        <v>519</v>
      </c>
      <c r="E61" s="5">
        <v>26.96</v>
      </c>
      <c r="F61" s="4">
        <v>63</v>
      </c>
      <c r="G61" s="5">
        <v>4.78</v>
      </c>
      <c r="H61" s="4">
        <v>0</v>
      </c>
    </row>
    <row r="62" spans="1:8" x14ac:dyDescent="0.15">
      <c r="A62" s="2" t="s">
        <v>62</v>
      </c>
      <c r="B62" s="4">
        <v>385</v>
      </c>
      <c r="C62" s="5">
        <v>11.86</v>
      </c>
      <c r="D62" s="4">
        <v>308</v>
      </c>
      <c r="E62" s="5">
        <v>16</v>
      </c>
      <c r="F62" s="4">
        <v>77</v>
      </c>
      <c r="G62" s="5">
        <v>5.84</v>
      </c>
      <c r="H62" s="4">
        <v>0</v>
      </c>
    </row>
    <row r="63" spans="1:8" x14ac:dyDescent="0.15">
      <c r="A63" s="2" t="s">
        <v>63</v>
      </c>
      <c r="B63" s="4">
        <v>131</v>
      </c>
      <c r="C63" s="5">
        <v>4.04</v>
      </c>
      <c r="D63" s="4">
        <v>90</v>
      </c>
      <c r="E63" s="5">
        <v>4.68</v>
      </c>
      <c r="F63" s="4">
        <v>41</v>
      </c>
      <c r="G63" s="5">
        <v>3.11</v>
      </c>
      <c r="H63" s="4">
        <v>0</v>
      </c>
    </row>
    <row r="64" spans="1:8" x14ac:dyDescent="0.15">
      <c r="A64" s="2" t="s">
        <v>64</v>
      </c>
      <c r="B64" s="4">
        <v>212</v>
      </c>
      <c r="C64" s="5">
        <v>6.53</v>
      </c>
      <c r="D64" s="4">
        <v>142</v>
      </c>
      <c r="E64" s="5">
        <v>7.38</v>
      </c>
      <c r="F64" s="4">
        <v>70</v>
      </c>
      <c r="G64" s="5">
        <v>5.31</v>
      </c>
      <c r="H64" s="4">
        <v>0</v>
      </c>
    </row>
    <row r="65" spans="1:8" x14ac:dyDescent="0.15">
      <c r="A65" s="2" t="s">
        <v>65</v>
      </c>
      <c r="B65" s="4">
        <v>98</v>
      </c>
      <c r="C65" s="5">
        <v>3.02</v>
      </c>
      <c r="D65" s="4">
        <v>41</v>
      </c>
      <c r="E65" s="5">
        <v>2.13</v>
      </c>
      <c r="F65" s="4">
        <v>57</v>
      </c>
      <c r="G65" s="5">
        <v>4.32</v>
      </c>
      <c r="H65" s="4">
        <v>0</v>
      </c>
    </row>
    <row r="66" spans="1:8" x14ac:dyDescent="0.15">
      <c r="A66" s="1" t="s">
        <v>4</v>
      </c>
      <c r="B66" s="4">
        <v>4296</v>
      </c>
      <c r="C66" s="5">
        <v>99.990000000000009</v>
      </c>
      <c r="D66" s="4">
        <v>2687</v>
      </c>
      <c r="E66" s="5">
        <v>99.99</v>
      </c>
      <c r="F66" s="4">
        <v>1603</v>
      </c>
      <c r="G66" s="5">
        <v>99.990000000000023</v>
      </c>
      <c r="H66" s="4">
        <v>6</v>
      </c>
    </row>
    <row r="67" spans="1:8" x14ac:dyDescent="0.15">
      <c r="A67" s="2" t="s">
        <v>51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15">
      <c r="A68" s="2" t="s">
        <v>52</v>
      </c>
      <c r="B68" s="4">
        <v>357</v>
      </c>
      <c r="C68" s="5">
        <v>8.31</v>
      </c>
      <c r="D68" s="4">
        <v>92</v>
      </c>
      <c r="E68" s="5">
        <v>3.42</v>
      </c>
      <c r="F68" s="4">
        <v>265</v>
      </c>
      <c r="G68" s="5">
        <v>16.53</v>
      </c>
      <c r="H68" s="4">
        <v>0</v>
      </c>
    </row>
    <row r="69" spans="1:8" x14ac:dyDescent="0.15">
      <c r="A69" s="2" t="s">
        <v>53</v>
      </c>
      <c r="B69" s="4">
        <v>430</v>
      </c>
      <c r="C69" s="5">
        <v>10.01</v>
      </c>
      <c r="D69" s="4">
        <v>172</v>
      </c>
      <c r="E69" s="5">
        <v>6.4</v>
      </c>
      <c r="F69" s="4">
        <v>258</v>
      </c>
      <c r="G69" s="5">
        <v>16.09</v>
      </c>
      <c r="H69" s="4">
        <v>0</v>
      </c>
    </row>
    <row r="70" spans="1:8" x14ac:dyDescent="0.15">
      <c r="A70" s="2" t="s">
        <v>54</v>
      </c>
      <c r="B70" s="4">
        <v>0</v>
      </c>
      <c r="C70" s="5">
        <v>0</v>
      </c>
      <c r="D70" s="4">
        <v>0</v>
      </c>
      <c r="E70" s="5">
        <v>0</v>
      </c>
      <c r="F70" s="4">
        <v>0</v>
      </c>
      <c r="G70" s="5">
        <v>0</v>
      </c>
      <c r="H70" s="4">
        <v>0</v>
      </c>
    </row>
    <row r="71" spans="1:8" x14ac:dyDescent="0.15">
      <c r="A71" s="2" t="s">
        <v>55</v>
      </c>
      <c r="B71" s="4">
        <v>22</v>
      </c>
      <c r="C71" s="5">
        <v>0.51</v>
      </c>
      <c r="D71" s="4">
        <v>3</v>
      </c>
      <c r="E71" s="5">
        <v>0.11</v>
      </c>
      <c r="F71" s="4">
        <v>19</v>
      </c>
      <c r="G71" s="5">
        <v>1.19</v>
      </c>
      <c r="H71" s="4">
        <v>0</v>
      </c>
    </row>
    <row r="72" spans="1:8" x14ac:dyDescent="0.15">
      <c r="A72" s="2" t="s">
        <v>56</v>
      </c>
      <c r="B72" s="4">
        <v>44</v>
      </c>
      <c r="C72" s="5">
        <v>1.02</v>
      </c>
      <c r="D72" s="4">
        <v>13</v>
      </c>
      <c r="E72" s="5">
        <v>0.48</v>
      </c>
      <c r="F72" s="4">
        <v>31</v>
      </c>
      <c r="G72" s="5">
        <v>1.93</v>
      </c>
      <c r="H72" s="4">
        <v>0</v>
      </c>
    </row>
    <row r="73" spans="1:8" x14ac:dyDescent="0.15">
      <c r="A73" s="2" t="s">
        <v>57</v>
      </c>
      <c r="B73" s="4">
        <v>1200</v>
      </c>
      <c r="C73" s="5">
        <v>27.93</v>
      </c>
      <c r="D73" s="4">
        <v>708</v>
      </c>
      <c r="E73" s="5">
        <v>26.35</v>
      </c>
      <c r="F73" s="4">
        <v>492</v>
      </c>
      <c r="G73" s="5">
        <v>30.69</v>
      </c>
      <c r="H73" s="4">
        <v>0</v>
      </c>
    </row>
    <row r="74" spans="1:8" x14ac:dyDescent="0.15">
      <c r="A74" s="2" t="s">
        <v>58</v>
      </c>
      <c r="B74" s="4">
        <v>16</v>
      </c>
      <c r="C74" s="5">
        <v>0.37</v>
      </c>
      <c r="D74" s="4">
        <v>3</v>
      </c>
      <c r="E74" s="5">
        <v>0.11</v>
      </c>
      <c r="F74" s="4">
        <v>13</v>
      </c>
      <c r="G74" s="5">
        <v>0.81</v>
      </c>
      <c r="H74" s="4">
        <v>0</v>
      </c>
    </row>
    <row r="75" spans="1:8" x14ac:dyDescent="0.15">
      <c r="A75" s="2" t="s">
        <v>59</v>
      </c>
      <c r="B75" s="4">
        <v>450</v>
      </c>
      <c r="C75" s="5">
        <v>10.47</v>
      </c>
      <c r="D75" s="4">
        <v>221</v>
      </c>
      <c r="E75" s="5">
        <v>8.2200000000000006</v>
      </c>
      <c r="F75" s="4">
        <v>228</v>
      </c>
      <c r="G75" s="5">
        <v>14.22</v>
      </c>
      <c r="H75" s="4">
        <v>1</v>
      </c>
    </row>
    <row r="76" spans="1:8" x14ac:dyDescent="0.15">
      <c r="A76" s="2" t="s">
        <v>60</v>
      </c>
      <c r="B76" s="4">
        <v>155</v>
      </c>
      <c r="C76" s="5">
        <v>3.61</v>
      </c>
      <c r="D76" s="4">
        <v>94</v>
      </c>
      <c r="E76" s="5">
        <v>3.5</v>
      </c>
      <c r="F76" s="4">
        <v>61</v>
      </c>
      <c r="G76" s="5">
        <v>3.81</v>
      </c>
      <c r="H76" s="4">
        <v>0</v>
      </c>
    </row>
    <row r="77" spans="1:8" x14ac:dyDescent="0.15">
      <c r="A77" s="2" t="s">
        <v>61</v>
      </c>
      <c r="B77" s="4">
        <v>885</v>
      </c>
      <c r="C77" s="5">
        <v>20.6</v>
      </c>
      <c r="D77" s="4">
        <v>828</v>
      </c>
      <c r="E77" s="5">
        <v>30.82</v>
      </c>
      <c r="F77" s="4">
        <v>57</v>
      </c>
      <c r="G77" s="5">
        <v>3.56</v>
      </c>
      <c r="H77" s="4">
        <v>0</v>
      </c>
    </row>
    <row r="78" spans="1:8" x14ac:dyDescent="0.15">
      <c r="A78" s="2" t="s">
        <v>62</v>
      </c>
      <c r="B78" s="4">
        <v>402</v>
      </c>
      <c r="C78" s="5">
        <v>9.36</v>
      </c>
      <c r="D78" s="4">
        <v>324</v>
      </c>
      <c r="E78" s="5">
        <v>12.06</v>
      </c>
      <c r="F78" s="4">
        <v>77</v>
      </c>
      <c r="G78" s="5">
        <v>4.8</v>
      </c>
      <c r="H78" s="4">
        <v>1</v>
      </c>
    </row>
    <row r="79" spans="1:8" x14ac:dyDescent="0.15">
      <c r="A79" s="2" t="s">
        <v>63</v>
      </c>
      <c r="B79" s="4">
        <v>77</v>
      </c>
      <c r="C79" s="5">
        <v>1.79</v>
      </c>
      <c r="D79" s="4">
        <v>65</v>
      </c>
      <c r="E79" s="5">
        <v>2.42</v>
      </c>
      <c r="F79" s="4">
        <v>10</v>
      </c>
      <c r="G79" s="5">
        <v>0.62</v>
      </c>
      <c r="H79" s="4">
        <v>2</v>
      </c>
    </row>
    <row r="80" spans="1:8" x14ac:dyDescent="0.15">
      <c r="A80" s="2" t="s">
        <v>64</v>
      </c>
      <c r="B80" s="4">
        <v>155</v>
      </c>
      <c r="C80" s="5">
        <v>3.61</v>
      </c>
      <c r="D80" s="4">
        <v>118</v>
      </c>
      <c r="E80" s="5">
        <v>4.3899999999999997</v>
      </c>
      <c r="F80" s="4">
        <v>37</v>
      </c>
      <c r="G80" s="5">
        <v>2.31</v>
      </c>
      <c r="H80" s="4">
        <v>0</v>
      </c>
    </row>
    <row r="81" spans="1:8" x14ac:dyDescent="0.15">
      <c r="A81" s="2" t="s">
        <v>65</v>
      </c>
      <c r="B81" s="4">
        <v>103</v>
      </c>
      <c r="C81" s="5">
        <v>2.4</v>
      </c>
      <c r="D81" s="4">
        <v>46</v>
      </c>
      <c r="E81" s="5">
        <v>1.71</v>
      </c>
      <c r="F81" s="4">
        <v>55</v>
      </c>
      <c r="G81" s="5">
        <v>3.43</v>
      </c>
      <c r="H81" s="4">
        <v>2</v>
      </c>
    </row>
    <row r="82" spans="1:8" x14ac:dyDescent="0.15">
      <c r="A82" s="1" t="s">
        <v>5</v>
      </c>
      <c r="B82" s="4">
        <v>3706</v>
      </c>
      <c r="C82" s="5">
        <v>99.990000000000009</v>
      </c>
      <c r="D82" s="4">
        <v>2462</v>
      </c>
      <c r="E82" s="5">
        <v>99.990000000000009</v>
      </c>
      <c r="F82" s="4">
        <v>1240</v>
      </c>
      <c r="G82" s="5">
        <v>99.97999999999999</v>
      </c>
      <c r="H82" s="4">
        <v>4</v>
      </c>
    </row>
    <row r="83" spans="1:8" x14ac:dyDescent="0.15">
      <c r="A83" s="2" t="s">
        <v>51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15">
      <c r="A84" s="2" t="s">
        <v>52</v>
      </c>
      <c r="B84" s="4">
        <v>265</v>
      </c>
      <c r="C84" s="5">
        <v>7.15</v>
      </c>
      <c r="D84" s="4">
        <v>95</v>
      </c>
      <c r="E84" s="5">
        <v>3.86</v>
      </c>
      <c r="F84" s="4">
        <v>170</v>
      </c>
      <c r="G84" s="5">
        <v>13.71</v>
      </c>
      <c r="H84" s="4">
        <v>0</v>
      </c>
    </row>
    <row r="85" spans="1:8" x14ac:dyDescent="0.15">
      <c r="A85" s="2" t="s">
        <v>53</v>
      </c>
      <c r="B85" s="4">
        <v>807</v>
      </c>
      <c r="C85" s="5">
        <v>21.78</v>
      </c>
      <c r="D85" s="4">
        <v>521</v>
      </c>
      <c r="E85" s="5">
        <v>21.16</v>
      </c>
      <c r="F85" s="4">
        <v>286</v>
      </c>
      <c r="G85" s="5">
        <v>23.06</v>
      </c>
      <c r="H85" s="4">
        <v>0</v>
      </c>
    </row>
    <row r="86" spans="1:8" x14ac:dyDescent="0.15">
      <c r="A86" s="2" t="s">
        <v>54</v>
      </c>
      <c r="B86" s="4">
        <v>2</v>
      </c>
      <c r="C86" s="5">
        <v>0.05</v>
      </c>
      <c r="D86" s="4">
        <v>0</v>
      </c>
      <c r="E86" s="5">
        <v>0</v>
      </c>
      <c r="F86" s="4">
        <v>2</v>
      </c>
      <c r="G86" s="5">
        <v>0.16</v>
      </c>
      <c r="H86" s="4">
        <v>0</v>
      </c>
    </row>
    <row r="87" spans="1:8" x14ac:dyDescent="0.15">
      <c r="A87" s="2" t="s">
        <v>55</v>
      </c>
      <c r="B87" s="4">
        <v>9</v>
      </c>
      <c r="C87" s="5">
        <v>0.24</v>
      </c>
      <c r="D87" s="4">
        <v>3</v>
      </c>
      <c r="E87" s="5">
        <v>0.12</v>
      </c>
      <c r="F87" s="4">
        <v>6</v>
      </c>
      <c r="G87" s="5">
        <v>0.48</v>
      </c>
      <c r="H87" s="4">
        <v>0</v>
      </c>
    </row>
    <row r="88" spans="1:8" x14ac:dyDescent="0.15">
      <c r="A88" s="2" t="s">
        <v>56</v>
      </c>
      <c r="B88" s="4">
        <v>40</v>
      </c>
      <c r="C88" s="5">
        <v>1.08</v>
      </c>
      <c r="D88" s="4">
        <v>20</v>
      </c>
      <c r="E88" s="5">
        <v>0.81</v>
      </c>
      <c r="F88" s="4">
        <v>20</v>
      </c>
      <c r="G88" s="5">
        <v>1.61</v>
      </c>
      <c r="H88" s="4">
        <v>0</v>
      </c>
    </row>
    <row r="89" spans="1:8" x14ac:dyDescent="0.15">
      <c r="A89" s="2" t="s">
        <v>57</v>
      </c>
      <c r="B89" s="4">
        <v>888</v>
      </c>
      <c r="C89" s="5">
        <v>23.96</v>
      </c>
      <c r="D89" s="4">
        <v>511</v>
      </c>
      <c r="E89" s="5">
        <v>20.76</v>
      </c>
      <c r="F89" s="4">
        <v>377</v>
      </c>
      <c r="G89" s="5">
        <v>30.4</v>
      </c>
      <c r="H89" s="4">
        <v>0</v>
      </c>
    </row>
    <row r="90" spans="1:8" x14ac:dyDescent="0.15">
      <c r="A90" s="2" t="s">
        <v>58</v>
      </c>
      <c r="B90" s="4">
        <v>7</v>
      </c>
      <c r="C90" s="5">
        <v>0.19</v>
      </c>
      <c r="D90" s="4">
        <v>0</v>
      </c>
      <c r="E90" s="5">
        <v>0</v>
      </c>
      <c r="F90" s="4">
        <v>7</v>
      </c>
      <c r="G90" s="5">
        <v>0.56000000000000005</v>
      </c>
      <c r="H90" s="4">
        <v>0</v>
      </c>
    </row>
    <row r="91" spans="1:8" x14ac:dyDescent="0.15">
      <c r="A91" s="2" t="s">
        <v>59</v>
      </c>
      <c r="B91" s="4">
        <v>282</v>
      </c>
      <c r="C91" s="5">
        <v>7.61</v>
      </c>
      <c r="D91" s="4">
        <v>135</v>
      </c>
      <c r="E91" s="5">
        <v>5.48</v>
      </c>
      <c r="F91" s="4">
        <v>146</v>
      </c>
      <c r="G91" s="5">
        <v>11.77</v>
      </c>
      <c r="H91" s="4">
        <v>1</v>
      </c>
    </row>
    <row r="92" spans="1:8" x14ac:dyDescent="0.15">
      <c r="A92" s="2" t="s">
        <v>60</v>
      </c>
      <c r="B92" s="4">
        <v>104</v>
      </c>
      <c r="C92" s="5">
        <v>2.81</v>
      </c>
      <c r="D92" s="4">
        <v>67</v>
      </c>
      <c r="E92" s="5">
        <v>2.72</v>
      </c>
      <c r="F92" s="4">
        <v>37</v>
      </c>
      <c r="G92" s="5">
        <v>2.98</v>
      </c>
      <c r="H92" s="4">
        <v>0</v>
      </c>
    </row>
    <row r="93" spans="1:8" x14ac:dyDescent="0.15">
      <c r="A93" s="2" t="s">
        <v>61</v>
      </c>
      <c r="B93" s="4">
        <v>655</v>
      </c>
      <c r="C93" s="5">
        <v>17.670000000000002</v>
      </c>
      <c r="D93" s="4">
        <v>615</v>
      </c>
      <c r="E93" s="5">
        <v>24.98</v>
      </c>
      <c r="F93" s="4">
        <v>40</v>
      </c>
      <c r="G93" s="5">
        <v>3.23</v>
      </c>
      <c r="H93" s="4">
        <v>0</v>
      </c>
    </row>
    <row r="94" spans="1:8" x14ac:dyDescent="0.15">
      <c r="A94" s="2" t="s">
        <v>62</v>
      </c>
      <c r="B94" s="4">
        <v>341</v>
      </c>
      <c r="C94" s="5">
        <v>9.1999999999999993</v>
      </c>
      <c r="D94" s="4">
        <v>296</v>
      </c>
      <c r="E94" s="5">
        <v>12.02</v>
      </c>
      <c r="F94" s="4">
        <v>44</v>
      </c>
      <c r="G94" s="5">
        <v>3.55</v>
      </c>
      <c r="H94" s="4">
        <v>1</v>
      </c>
    </row>
    <row r="95" spans="1:8" x14ac:dyDescent="0.15">
      <c r="A95" s="2" t="s">
        <v>63</v>
      </c>
      <c r="B95" s="4">
        <v>63</v>
      </c>
      <c r="C95" s="5">
        <v>1.7</v>
      </c>
      <c r="D95" s="4">
        <v>53</v>
      </c>
      <c r="E95" s="5">
        <v>2.15</v>
      </c>
      <c r="F95" s="4">
        <v>9</v>
      </c>
      <c r="G95" s="5">
        <v>0.73</v>
      </c>
      <c r="H95" s="4">
        <v>1</v>
      </c>
    </row>
    <row r="96" spans="1:8" x14ac:dyDescent="0.15">
      <c r="A96" s="2" t="s">
        <v>64</v>
      </c>
      <c r="B96" s="4">
        <v>155</v>
      </c>
      <c r="C96" s="5">
        <v>4.18</v>
      </c>
      <c r="D96" s="4">
        <v>103</v>
      </c>
      <c r="E96" s="5">
        <v>4.18</v>
      </c>
      <c r="F96" s="4">
        <v>52</v>
      </c>
      <c r="G96" s="5">
        <v>4.1900000000000004</v>
      </c>
      <c r="H96" s="4">
        <v>0</v>
      </c>
    </row>
    <row r="97" spans="1:8" x14ac:dyDescent="0.15">
      <c r="A97" s="2" t="s">
        <v>65</v>
      </c>
      <c r="B97" s="4">
        <v>88</v>
      </c>
      <c r="C97" s="5">
        <v>2.37</v>
      </c>
      <c r="D97" s="4">
        <v>43</v>
      </c>
      <c r="E97" s="5">
        <v>1.75</v>
      </c>
      <c r="F97" s="4">
        <v>44</v>
      </c>
      <c r="G97" s="5">
        <v>3.55</v>
      </c>
      <c r="H97" s="4">
        <v>1</v>
      </c>
    </row>
    <row r="98" spans="1:8" x14ac:dyDescent="0.15">
      <c r="A98" s="1" t="s">
        <v>6</v>
      </c>
      <c r="B98" s="4">
        <v>2388</v>
      </c>
      <c r="C98" s="5">
        <v>100.02</v>
      </c>
      <c r="D98" s="4">
        <v>1352</v>
      </c>
      <c r="E98" s="5">
        <v>100.00000000000001</v>
      </c>
      <c r="F98" s="4">
        <v>1031</v>
      </c>
      <c r="G98" s="5">
        <v>99.999999999999986</v>
      </c>
      <c r="H98" s="4">
        <v>5</v>
      </c>
    </row>
    <row r="99" spans="1:8" x14ac:dyDescent="0.15">
      <c r="A99" s="2" t="s">
        <v>51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15">
      <c r="A100" s="2" t="s">
        <v>52</v>
      </c>
      <c r="B100" s="4">
        <v>226</v>
      </c>
      <c r="C100" s="5">
        <v>9.4600000000000009</v>
      </c>
      <c r="D100" s="4">
        <v>66</v>
      </c>
      <c r="E100" s="5">
        <v>4.88</v>
      </c>
      <c r="F100" s="4">
        <v>160</v>
      </c>
      <c r="G100" s="5">
        <v>15.52</v>
      </c>
      <c r="H100" s="4">
        <v>0</v>
      </c>
    </row>
    <row r="101" spans="1:8" x14ac:dyDescent="0.15">
      <c r="A101" s="2" t="s">
        <v>53</v>
      </c>
      <c r="B101" s="4">
        <v>195</v>
      </c>
      <c r="C101" s="5">
        <v>8.17</v>
      </c>
      <c r="D101" s="4">
        <v>114</v>
      </c>
      <c r="E101" s="5">
        <v>8.43</v>
      </c>
      <c r="F101" s="4">
        <v>81</v>
      </c>
      <c r="G101" s="5">
        <v>7.86</v>
      </c>
      <c r="H101" s="4">
        <v>0</v>
      </c>
    </row>
    <row r="102" spans="1:8" x14ac:dyDescent="0.15">
      <c r="A102" s="2" t="s">
        <v>54</v>
      </c>
      <c r="B102" s="4">
        <v>0</v>
      </c>
      <c r="C102" s="5">
        <v>0</v>
      </c>
      <c r="D102" s="4">
        <v>0</v>
      </c>
      <c r="E102" s="5">
        <v>0</v>
      </c>
      <c r="F102" s="4">
        <v>0</v>
      </c>
      <c r="G102" s="5">
        <v>0</v>
      </c>
      <c r="H102" s="4">
        <v>0</v>
      </c>
    </row>
    <row r="103" spans="1:8" x14ac:dyDescent="0.15">
      <c r="A103" s="2" t="s">
        <v>55</v>
      </c>
      <c r="B103" s="4">
        <v>25</v>
      </c>
      <c r="C103" s="5">
        <v>1.05</v>
      </c>
      <c r="D103" s="4">
        <v>2</v>
      </c>
      <c r="E103" s="5">
        <v>0.15</v>
      </c>
      <c r="F103" s="4">
        <v>23</v>
      </c>
      <c r="G103" s="5">
        <v>2.23</v>
      </c>
      <c r="H103" s="4">
        <v>0</v>
      </c>
    </row>
    <row r="104" spans="1:8" x14ac:dyDescent="0.15">
      <c r="A104" s="2" t="s">
        <v>56</v>
      </c>
      <c r="B104" s="4">
        <v>56</v>
      </c>
      <c r="C104" s="5">
        <v>2.35</v>
      </c>
      <c r="D104" s="4">
        <v>30</v>
      </c>
      <c r="E104" s="5">
        <v>2.2200000000000002</v>
      </c>
      <c r="F104" s="4">
        <v>26</v>
      </c>
      <c r="G104" s="5">
        <v>2.52</v>
      </c>
      <c r="H104" s="4">
        <v>0</v>
      </c>
    </row>
    <row r="105" spans="1:8" x14ac:dyDescent="0.15">
      <c r="A105" s="2" t="s">
        <v>57</v>
      </c>
      <c r="B105" s="4">
        <v>568</v>
      </c>
      <c r="C105" s="5">
        <v>23.79</v>
      </c>
      <c r="D105" s="4">
        <v>283</v>
      </c>
      <c r="E105" s="5">
        <v>20.93</v>
      </c>
      <c r="F105" s="4">
        <v>285</v>
      </c>
      <c r="G105" s="5">
        <v>27.64</v>
      </c>
      <c r="H105" s="4">
        <v>0</v>
      </c>
    </row>
    <row r="106" spans="1:8" x14ac:dyDescent="0.15">
      <c r="A106" s="2" t="s">
        <v>58</v>
      </c>
      <c r="B106" s="4">
        <v>14</v>
      </c>
      <c r="C106" s="5">
        <v>0.59</v>
      </c>
      <c r="D106" s="4">
        <v>1</v>
      </c>
      <c r="E106" s="5">
        <v>7.0000000000000007E-2</v>
      </c>
      <c r="F106" s="4">
        <v>13</v>
      </c>
      <c r="G106" s="5">
        <v>1.26</v>
      </c>
      <c r="H106" s="4">
        <v>0</v>
      </c>
    </row>
    <row r="107" spans="1:8" x14ac:dyDescent="0.15">
      <c r="A107" s="2" t="s">
        <v>59</v>
      </c>
      <c r="B107" s="4">
        <v>275</v>
      </c>
      <c r="C107" s="5">
        <v>11.52</v>
      </c>
      <c r="D107" s="4">
        <v>95</v>
      </c>
      <c r="E107" s="5">
        <v>7.03</v>
      </c>
      <c r="F107" s="4">
        <v>179</v>
      </c>
      <c r="G107" s="5">
        <v>17.36</v>
      </c>
      <c r="H107" s="4">
        <v>1</v>
      </c>
    </row>
    <row r="108" spans="1:8" x14ac:dyDescent="0.15">
      <c r="A108" s="2" t="s">
        <v>60</v>
      </c>
      <c r="B108" s="4">
        <v>85</v>
      </c>
      <c r="C108" s="5">
        <v>3.56</v>
      </c>
      <c r="D108" s="4">
        <v>45</v>
      </c>
      <c r="E108" s="5">
        <v>3.33</v>
      </c>
      <c r="F108" s="4">
        <v>40</v>
      </c>
      <c r="G108" s="5">
        <v>3.88</v>
      </c>
      <c r="H108" s="4">
        <v>0</v>
      </c>
    </row>
    <row r="109" spans="1:8" x14ac:dyDescent="0.15">
      <c r="A109" s="2" t="s">
        <v>61</v>
      </c>
      <c r="B109" s="4">
        <v>368</v>
      </c>
      <c r="C109" s="5">
        <v>15.41</v>
      </c>
      <c r="D109" s="4">
        <v>324</v>
      </c>
      <c r="E109" s="5">
        <v>23.96</v>
      </c>
      <c r="F109" s="4">
        <v>44</v>
      </c>
      <c r="G109" s="5">
        <v>4.2699999999999996</v>
      </c>
      <c r="H109" s="4">
        <v>0</v>
      </c>
    </row>
    <row r="110" spans="1:8" x14ac:dyDescent="0.15">
      <c r="A110" s="2" t="s">
        <v>62</v>
      </c>
      <c r="B110" s="4">
        <v>283</v>
      </c>
      <c r="C110" s="5">
        <v>11.85</v>
      </c>
      <c r="D110" s="4">
        <v>212</v>
      </c>
      <c r="E110" s="5">
        <v>15.68</v>
      </c>
      <c r="F110" s="4">
        <v>71</v>
      </c>
      <c r="G110" s="5">
        <v>6.89</v>
      </c>
      <c r="H110" s="4">
        <v>0</v>
      </c>
    </row>
    <row r="111" spans="1:8" x14ac:dyDescent="0.15">
      <c r="A111" s="2" t="s">
        <v>63</v>
      </c>
      <c r="B111" s="4">
        <v>102</v>
      </c>
      <c r="C111" s="5">
        <v>4.2699999999999996</v>
      </c>
      <c r="D111" s="4">
        <v>73</v>
      </c>
      <c r="E111" s="5">
        <v>5.4</v>
      </c>
      <c r="F111" s="4">
        <v>28</v>
      </c>
      <c r="G111" s="5">
        <v>2.72</v>
      </c>
      <c r="H111" s="4">
        <v>1</v>
      </c>
    </row>
    <row r="112" spans="1:8" x14ac:dyDescent="0.15">
      <c r="A112" s="2" t="s">
        <v>64</v>
      </c>
      <c r="B112" s="4">
        <v>140</v>
      </c>
      <c r="C112" s="5">
        <v>5.86</v>
      </c>
      <c r="D112" s="4">
        <v>85</v>
      </c>
      <c r="E112" s="5">
        <v>6.29</v>
      </c>
      <c r="F112" s="4">
        <v>52</v>
      </c>
      <c r="G112" s="5">
        <v>5.04</v>
      </c>
      <c r="H112" s="4">
        <v>3</v>
      </c>
    </row>
    <row r="113" spans="1:8" x14ac:dyDescent="0.15">
      <c r="A113" s="2" t="s">
        <v>65</v>
      </c>
      <c r="B113" s="4">
        <v>51</v>
      </c>
      <c r="C113" s="5">
        <v>2.14</v>
      </c>
      <c r="D113" s="4">
        <v>22</v>
      </c>
      <c r="E113" s="5">
        <v>1.63</v>
      </c>
      <c r="F113" s="4">
        <v>29</v>
      </c>
      <c r="G113" s="5">
        <v>2.81</v>
      </c>
      <c r="H113" s="4">
        <v>0</v>
      </c>
    </row>
    <row r="114" spans="1:8" x14ac:dyDescent="0.15">
      <c r="A114" s="1" t="s">
        <v>7</v>
      </c>
      <c r="B114" s="4">
        <v>2965</v>
      </c>
      <c r="C114" s="5">
        <v>99.97999999999999</v>
      </c>
      <c r="D114" s="4">
        <v>1769</v>
      </c>
      <c r="E114" s="5">
        <v>100.00000000000001</v>
      </c>
      <c r="F114" s="4">
        <v>1190</v>
      </c>
      <c r="G114" s="5">
        <v>99.999999999999986</v>
      </c>
      <c r="H114" s="4">
        <v>6</v>
      </c>
    </row>
    <row r="115" spans="1:8" x14ac:dyDescent="0.15">
      <c r="A115" s="2" t="s">
        <v>51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15">
      <c r="A116" s="2" t="s">
        <v>52</v>
      </c>
      <c r="B116" s="4">
        <v>288</v>
      </c>
      <c r="C116" s="5">
        <v>9.7100000000000009</v>
      </c>
      <c r="D116" s="4">
        <v>72</v>
      </c>
      <c r="E116" s="5">
        <v>4.07</v>
      </c>
      <c r="F116" s="4">
        <v>216</v>
      </c>
      <c r="G116" s="5">
        <v>18.149999999999999</v>
      </c>
      <c r="H116" s="4">
        <v>0</v>
      </c>
    </row>
    <row r="117" spans="1:8" x14ac:dyDescent="0.15">
      <c r="A117" s="2" t="s">
        <v>53</v>
      </c>
      <c r="B117" s="4">
        <v>89</v>
      </c>
      <c r="C117" s="5">
        <v>3</v>
      </c>
      <c r="D117" s="4">
        <v>43</v>
      </c>
      <c r="E117" s="5">
        <v>2.4300000000000002</v>
      </c>
      <c r="F117" s="4">
        <v>46</v>
      </c>
      <c r="G117" s="5">
        <v>3.87</v>
      </c>
      <c r="H117" s="4">
        <v>0</v>
      </c>
    </row>
    <row r="118" spans="1:8" x14ac:dyDescent="0.15">
      <c r="A118" s="2" t="s">
        <v>54</v>
      </c>
      <c r="B118" s="4">
        <v>0</v>
      </c>
      <c r="C118" s="5">
        <v>0</v>
      </c>
      <c r="D118" s="4">
        <v>0</v>
      </c>
      <c r="E118" s="5">
        <v>0</v>
      </c>
      <c r="F118" s="4">
        <v>0</v>
      </c>
      <c r="G118" s="5">
        <v>0</v>
      </c>
      <c r="H118" s="4">
        <v>0</v>
      </c>
    </row>
    <row r="119" spans="1:8" x14ac:dyDescent="0.15">
      <c r="A119" s="2" t="s">
        <v>55</v>
      </c>
      <c r="B119" s="4">
        <v>23</v>
      </c>
      <c r="C119" s="5">
        <v>0.78</v>
      </c>
      <c r="D119" s="4">
        <v>2</v>
      </c>
      <c r="E119" s="5">
        <v>0.11</v>
      </c>
      <c r="F119" s="4">
        <v>21</v>
      </c>
      <c r="G119" s="5">
        <v>1.76</v>
      </c>
      <c r="H119" s="4">
        <v>0</v>
      </c>
    </row>
    <row r="120" spans="1:8" x14ac:dyDescent="0.15">
      <c r="A120" s="2" t="s">
        <v>56</v>
      </c>
      <c r="B120" s="4">
        <v>40</v>
      </c>
      <c r="C120" s="5">
        <v>1.35</v>
      </c>
      <c r="D120" s="4">
        <v>26</v>
      </c>
      <c r="E120" s="5">
        <v>1.47</v>
      </c>
      <c r="F120" s="4">
        <v>14</v>
      </c>
      <c r="G120" s="5">
        <v>1.18</v>
      </c>
      <c r="H120" s="4">
        <v>0</v>
      </c>
    </row>
    <row r="121" spans="1:8" x14ac:dyDescent="0.15">
      <c r="A121" s="2" t="s">
        <v>57</v>
      </c>
      <c r="B121" s="4">
        <v>690</v>
      </c>
      <c r="C121" s="5">
        <v>23.27</v>
      </c>
      <c r="D121" s="4">
        <v>368</v>
      </c>
      <c r="E121" s="5">
        <v>20.8</v>
      </c>
      <c r="F121" s="4">
        <v>322</v>
      </c>
      <c r="G121" s="5">
        <v>27.06</v>
      </c>
      <c r="H121" s="4">
        <v>0</v>
      </c>
    </row>
    <row r="122" spans="1:8" x14ac:dyDescent="0.15">
      <c r="A122" s="2" t="s">
        <v>58</v>
      </c>
      <c r="B122" s="4">
        <v>22</v>
      </c>
      <c r="C122" s="5">
        <v>0.74</v>
      </c>
      <c r="D122" s="4">
        <v>5</v>
      </c>
      <c r="E122" s="5">
        <v>0.28000000000000003</v>
      </c>
      <c r="F122" s="4">
        <v>17</v>
      </c>
      <c r="G122" s="5">
        <v>1.43</v>
      </c>
      <c r="H122" s="4">
        <v>0</v>
      </c>
    </row>
    <row r="123" spans="1:8" x14ac:dyDescent="0.15">
      <c r="A123" s="2" t="s">
        <v>59</v>
      </c>
      <c r="B123" s="4">
        <v>365</v>
      </c>
      <c r="C123" s="5">
        <v>12.31</v>
      </c>
      <c r="D123" s="4">
        <v>154</v>
      </c>
      <c r="E123" s="5">
        <v>8.7100000000000009</v>
      </c>
      <c r="F123" s="4">
        <v>209</v>
      </c>
      <c r="G123" s="5">
        <v>17.559999999999999</v>
      </c>
      <c r="H123" s="4">
        <v>2</v>
      </c>
    </row>
    <row r="124" spans="1:8" x14ac:dyDescent="0.15">
      <c r="A124" s="2" t="s">
        <v>60</v>
      </c>
      <c r="B124" s="4">
        <v>140</v>
      </c>
      <c r="C124" s="5">
        <v>4.72</v>
      </c>
      <c r="D124" s="4">
        <v>84</v>
      </c>
      <c r="E124" s="5">
        <v>4.75</v>
      </c>
      <c r="F124" s="4">
        <v>56</v>
      </c>
      <c r="G124" s="5">
        <v>4.71</v>
      </c>
      <c r="H124" s="4">
        <v>0</v>
      </c>
    </row>
    <row r="125" spans="1:8" x14ac:dyDescent="0.15">
      <c r="A125" s="2" t="s">
        <v>61</v>
      </c>
      <c r="B125" s="4">
        <v>393</v>
      </c>
      <c r="C125" s="5">
        <v>13.25</v>
      </c>
      <c r="D125" s="4">
        <v>345</v>
      </c>
      <c r="E125" s="5">
        <v>19.5</v>
      </c>
      <c r="F125" s="4">
        <v>48</v>
      </c>
      <c r="G125" s="5">
        <v>4.03</v>
      </c>
      <c r="H125" s="4">
        <v>0</v>
      </c>
    </row>
    <row r="126" spans="1:8" x14ac:dyDescent="0.15">
      <c r="A126" s="2" t="s">
        <v>62</v>
      </c>
      <c r="B126" s="4">
        <v>456</v>
      </c>
      <c r="C126" s="5">
        <v>15.38</v>
      </c>
      <c r="D126" s="4">
        <v>365</v>
      </c>
      <c r="E126" s="5">
        <v>20.63</v>
      </c>
      <c r="F126" s="4">
        <v>90</v>
      </c>
      <c r="G126" s="5">
        <v>7.56</v>
      </c>
      <c r="H126" s="4">
        <v>1</v>
      </c>
    </row>
    <row r="127" spans="1:8" x14ac:dyDescent="0.15">
      <c r="A127" s="2" t="s">
        <v>63</v>
      </c>
      <c r="B127" s="4">
        <v>199</v>
      </c>
      <c r="C127" s="5">
        <v>6.71</v>
      </c>
      <c r="D127" s="4">
        <v>153</v>
      </c>
      <c r="E127" s="5">
        <v>8.65</v>
      </c>
      <c r="F127" s="4">
        <v>44</v>
      </c>
      <c r="G127" s="5">
        <v>3.7</v>
      </c>
      <c r="H127" s="4">
        <v>2</v>
      </c>
    </row>
    <row r="128" spans="1:8" x14ac:dyDescent="0.15">
      <c r="A128" s="2" t="s">
        <v>64</v>
      </c>
      <c r="B128" s="4">
        <v>189</v>
      </c>
      <c r="C128" s="5">
        <v>6.37</v>
      </c>
      <c r="D128" s="4">
        <v>119</v>
      </c>
      <c r="E128" s="5">
        <v>6.73</v>
      </c>
      <c r="F128" s="4">
        <v>70</v>
      </c>
      <c r="G128" s="5">
        <v>5.88</v>
      </c>
      <c r="H128" s="4">
        <v>0</v>
      </c>
    </row>
    <row r="129" spans="1:8" x14ac:dyDescent="0.15">
      <c r="A129" s="2" t="s">
        <v>65</v>
      </c>
      <c r="B129" s="4">
        <v>71</v>
      </c>
      <c r="C129" s="5">
        <v>2.39</v>
      </c>
      <c r="D129" s="4">
        <v>33</v>
      </c>
      <c r="E129" s="5">
        <v>1.87</v>
      </c>
      <c r="F129" s="4">
        <v>37</v>
      </c>
      <c r="G129" s="5">
        <v>3.11</v>
      </c>
      <c r="H129" s="4">
        <v>1</v>
      </c>
    </row>
    <row r="130" spans="1:8" x14ac:dyDescent="0.15">
      <c r="A130" s="1" t="s">
        <v>8</v>
      </c>
      <c r="B130" s="4">
        <v>2701</v>
      </c>
      <c r="C130" s="5">
        <v>100.00999999999999</v>
      </c>
      <c r="D130" s="4">
        <v>1406</v>
      </c>
      <c r="E130" s="5">
        <v>100.01</v>
      </c>
      <c r="F130" s="4">
        <v>1291</v>
      </c>
      <c r="G130" s="5">
        <v>100.01</v>
      </c>
      <c r="H130" s="4">
        <v>4</v>
      </c>
    </row>
    <row r="131" spans="1:8" x14ac:dyDescent="0.15">
      <c r="A131" s="2" t="s">
        <v>51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15">
      <c r="A132" s="2" t="s">
        <v>52</v>
      </c>
      <c r="B132" s="4">
        <v>344</v>
      </c>
      <c r="C132" s="5">
        <v>12.74</v>
      </c>
      <c r="D132" s="4">
        <v>98</v>
      </c>
      <c r="E132" s="5">
        <v>6.97</v>
      </c>
      <c r="F132" s="4">
        <v>246</v>
      </c>
      <c r="G132" s="5">
        <v>19.05</v>
      </c>
      <c r="H132" s="4">
        <v>0</v>
      </c>
    </row>
    <row r="133" spans="1:8" x14ac:dyDescent="0.15">
      <c r="A133" s="2" t="s">
        <v>53</v>
      </c>
      <c r="B133" s="4">
        <v>119</v>
      </c>
      <c r="C133" s="5">
        <v>4.41</v>
      </c>
      <c r="D133" s="4">
        <v>45</v>
      </c>
      <c r="E133" s="5">
        <v>3.2</v>
      </c>
      <c r="F133" s="4">
        <v>74</v>
      </c>
      <c r="G133" s="5">
        <v>5.73</v>
      </c>
      <c r="H133" s="4">
        <v>0</v>
      </c>
    </row>
    <row r="134" spans="1:8" x14ac:dyDescent="0.15">
      <c r="A134" s="2" t="s">
        <v>54</v>
      </c>
      <c r="B134" s="4">
        <v>1</v>
      </c>
      <c r="C134" s="5">
        <v>0.04</v>
      </c>
      <c r="D134" s="4">
        <v>0</v>
      </c>
      <c r="E134" s="5">
        <v>0</v>
      </c>
      <c r="F134" s="4">
        <v>1</v>
      </c>
      <c r="G134" s="5">
        <v>0.08</v>
      </c>
      <c r="H134" s="4">
        <v>0</v>
      </c>
    </row>
    <row r="135" spans="1:8" x14ac:dyDescent="0.15">
      <c r="A135" s="2" t="s">
        <v>55</v>
      </c>
      <c r="B135" s="4">
        <v>27</v>
      </c>
      <c r="C135" s="5">
        <v>1</v>
      </c>
      <c r="D135" s="4">
        <v>2</v>
      </c>
      <c r="E135" s="5">
        <v>0.14000000000000001</v>
      </c>
      <c r="F135" s="4">
        <v>25</v>
      </c>
      <c r="G135" s="5">
        <v>1.94</v>
      </c>
      <c r="H135" s="4">
        <v>0</v>
      </c>
    </row>
    <row r="136" spans="1:8" x14ac:dyDescent="0.15">
      <c r="A136" s="2" t="s">
        <v>56</v>
      </c>
      <c r="B136" s="4">
        <v>56</v>
      </c>
      <c r="C136" s="5">
        <v>2.0699999999999998</v>
      </c>
      <c r="D136" s="4">
        <v>42</v>
      </c>
      <c r="E136" s="5">
        <v>2.99</v>
      </c>
      <c r="F136" s="4">
        <v>14</v>
      </c>
      <c r="G136" s="5">
        <v>1.08</v>
      </c>
      <c r="H136" s="4">
        <v>0</v>
      </c>
    </row>
    <row r="137" spans="1:8" x14ac:dyDescent="0.15">
      <c r="A137" s="2" t="s">
        <v>57</v>
      </c>
      <c r="B137" s="4">
        <v>671</v>
      </c>
      <c r="C137" s="5">
        <v>24.84</v>
      </c>
      <c r="D137" s="4">
        <v>273</v>
      </c>
      <c r="E137" s="5">
        <v>19.420000000000002</v>
      </c>
      <c r="F137" s="4">
        <v>398</v>
      </c>
      <c r="G137" s="5">
        <v>30.83</v>
      </c>
      <c r="H137" s="4">
        <v>0</v>
      </c>
    </row>
    <row r="138" spans="1:8" x14ac:dyDescent="0.15">
      <c r="A138" s="2" t="s">
        <v>58</v>
      </c>
      <c r="B138" s="4">
        <v>18</v>
      </c>
      <c r="C138" s="5">
        <v>0.67</v>
      </c>
      <c r="D138" s="4">
        <v>3</v>
      </c>
      <c r="E138" s="5">
        <v>0.21</v>
      </c>
      <c r="F138" s="4">
        <v>15</v>
      </c>
      <c r="G138" s="5">
        <v>1.1599999999999999</v>
      </c>
      <c r="H138" s="4">
        <v>0</v>
      </c>
    </row>
    <row r="139" spans="1:8" x14ac:dyDescent="0.15">
      <c r="A139" s="2" t="s">
        <v>59</v>
      </c>
      <c r="B139" s="4">
        <v>239</v>
      </c>
      <c r="C139" s="5">
        <v>8.85</v>
      </c>
      <c r="D139" s="4">
        <v>73</v>
      </c>
      <c r="E139" s="5">
        <v>5.19</v>
      </c>
      <c r="F139" s="4">
        <v>166</v>
      </c>
      <c r="G139" s="5">
        <v>12.86</v>
      </c>
      <c r="H139" s="4">
        <v>0</v>
      </c>
    </row>
    <row r="140" spans="1:8" x14ac:dyDescent="0.15">
      <c r="A140" s="2" t="s">
        <v>60</v>
      </c>
      <c r="B140" s="4">
        <v>102</v>
      </c>
      <c r="C140" s="5">
        <v>3.78</v>
      </c>
      <c r="D140" s="4">
        <v>45</v>
      </c>
      <c r="E140" s="5">
        <v>3.2</v>
      </c>
      <c r="F140" s="4">
        <v>57</v>
      </c>
      <c r="G140" s="5">
        <v>4.42</v>
      </c>
      <c r="H140" s="4">
        <v>0</v>
      </c>
    </row>
    <row r="141" spans="1:8" x14ac:dyDescent="0.15">
      <c r="A141" s="2" t="s">
        <v>61</v>
      </c>
      <c r="B141" s="4">
        <v>325</v>
      </c>
      <c r="C141" s="5">
        <v>12.03</v>
      </c>
      <c r="D141" s="4">
        <v>263</v>
      </c>
      <c r="E141" s="5">
        <v>18.71</v>
      </c>
      <c r="F141" s="4">
        <v>62</v>
      </c>
      <c r="G141" s="5">
        <v>4.8</v>
      </c>
      <c r="H141" s="4">
        <v>0</v>
      </c>
    </row>
    <row r="142" spans="1:8" x14ac:dyDescent="0.15">
      <c r="A142" s="2" t="s">
        <v>62</v>
      </c>
      <c r="B142" s="4">
        <v>371</v>
      </c>
      <c r="C142" s="5">
        <v>13.74</v>
      </c>
      <c r="D142" s="4">
        <v>263</v>
      </c>
      <c r="E142" s="5">
        <v>18.71</v>
      </c>
      <c r="F142" s="4">
        <v>108</v>
      </c>
      <c r="G142" s="5">
        <v>8.3699999999999992</v>
      </c>
      <c r="H142" s="4">
        <v>0</v>
      </c>
    </row>
    <row r="143" spans="1:8" x14ac:dyDescent="0.15">
      <c r="A143" s="2" t="s">
        <v>63</v>
      </c>
      <c r="B143" s="4">
        <v>200</v>
      </c>
      <c r="C143" s="5">
        <v>7.4</v>
      </c>
      <c r="D143" s="4">
        <v>175</v>
      </c>
      <c r="E143" s="5">
        <v>12.45</v>
      </c>
      <c r="F143" s="4">
        <v>24</v>
      </c>
      <c r="G143" s="5">
        <v>1.86</v>
      </c>
      <c r="H143" s="4">
        <v>1</v>
      </c>
    </row>
    <row r="144" spans="1:8" x14ac:dyDescent="0.15">
      <c r="A144" s="2" t="s">
        <v>64</v>
      </c>
      <c r="B144" s="4">
        <v>155</v>
      </c>
      <c r="C144" s="5">
        <v>5.74</v>
      </c>
      <c r="D144" s="4">
        <v>94</v>
      </c>
      <c r="E144" s="5">
        <v>6.69</v>
      </c>
      <c r="F144" s="4">
        <v>60</v>
      </c>
      <c r="G144" s="5">
        <v>4.6500000000000004</v>
      </c>
      <c r="H144" s="4">
        <v>1</v>
      </c>
    </row>
    <row r="145" spans="1:8" x14ac:dyDescent="0.15">
      <c r="A145" s="2" t="s">
        <v>65</v>
      </c>
      <c r="B145" s="4">
        <v>73</v>
      </c>
      <c r="C145" s="5">
        <v>2.7</v>
      </c>
      <c r="D145" s="4">
        <v>30</v>
      </c>
      <c r="E145" s="5">
        <v>2.13</v>
      </c>
      <c r="F145" s="4">
        <v>41</v>
      </c>
      <c r="G145" s="5">
        <v>3.18</v>
      </c>
      <c r="H145" s="4">
        <v>2</v>
      </c>
    </row>
    <row r="146" spans="1:8" x14ac:dyDescent="0.15">
      <c r="A146" s="1" t="s">
        <v>9</v>
      </c>
      <c r="B146" s="4">
        <v>10975</v>
      </c>
      <c r="C146" s="5">
        <v>99.999999999999986</v>
      </c>
      <c r="D146" s="4">
        <v>5777</v>
      </c>
      <c r="E146" s="5">
        <v>100</v>
      </c>
      <c r="F146" s="4">
        <v>5173</v>
      </c>
      <c r="G146" s="5">
        <v>100.00999999999999</v>
      </c>
      <c r="H146" s="4">
        <v>25</v>
      </c>
    </row>
    <row r="147" spans="1:8" x14ac:dyDescent="0.15">
      <c r="A147" s="2" t="s">
        <v>51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15">
      <c r="A148" s="2" t="s">
        <v>52</v>
      </c>
      <c r="B148" s="4">
        <v>469</v>
      </c>
      <c r="C148" s="5">
        <v>4.2699999999999996</v>
      </c>
      <c r="D148" s="4">
        <v>40</v>
      </c>
      <c r="E148" s="5">
        <v>0.69</v>
      </c>
      <c r="F148" s="4">
        <v>428</v>
      </c>
      <c r="G148" s="5">
        <v>8.27</v>
      </c>
      <c r="H148" s="4">
        <v>1</v>
      </c>
    </row>
    <row r="149" spans="1:8" x14ac:dyDescent="0.15">
      <c r="A149" s="2" t="s">
        <v>53</v>
      </c>
      <c r="B149" s="4">
        <v>324</v>
      </c>
      <c r="C149" s="5">
        <v>2.95</v>
      </c>
      <c r="D149" s="4">
        <v>82</v>
      </c>
      <c r="E149" s="5">
        <v>1.42</v>
      </c>
      <c r="F149" s="4">
        <v>241</v>
      </c>
      <c r="G149" s="5">
        <v>4.66</v>
      </c>
      <c r="H149" s="4">
        <v>1</v>
      </c>
    </row>
    <row r="150" spans="1:8" x14ac:dyDescent="0.15">
      <c r="A150" s="2" t="s">
        <v>54</v>
      </c>
      <c r="B150" s="4">
        <v>5</v>
      </c>
      <c r="C150" s="5">
        <v>0.05</v>
      </c>
      <c r="D150" s="4">
        <v>0</v>
      </c>
      <c r="E150" s="5">
        <v>0</v>
      </c>
      <c r="F150" s="4">
        <v>5</v>
      </c>
      <c r="G150" s="5">
        <v>0.1</v>
      </c>
      <c r="H150" s="4">
        <v>0</v>
      </c>
    </row>
    <row r="151" spans="1:8" x14ac:dyDescent="0.15">
      <c r="A151" s="2" t="s">
        <v>55</v>
      </c>
      <c r="B151" s="4">
        <v>181</v>
      </c>
      <c r="C151" s="5">
        <v>1.65</v>
      </c>
      <c r="D151" s="4">
        <v>16</v>
      </c>
      <c r="E151" s="5">
        <v>0.28000000000000003</v>
      </c>
      <c r="F151" s="4">
        <v>164</v>
      </c>
      <c r="G151" s="5">
        <v>3.17</v>
      </c>
      <c r="H151" s="4">
        <v>1</v>
      </c>
    </row>
    <row r="152" spans="1:8" x14ac:dyDescent="0.15">
      <c r="A152" s="2" t="s">
        <v>56</v>
      </c>
      <c r="B152" s="4">
        <v>173</v>
      </c>
      <c r="C152" s="5">
        <v>1.58</v>
      </c>
      <c r="D152" s="4">
        <v>6</v>
      </c>
      <c r="E152" s="5">
        <v>0.1</v>
      </c>
      <c r="F152" s="4">
        <v>167</v>
      </c>
      <c r="G152" s="5">
        <v>3.23</v>
      </c>
      <c r="H152" s="4">
        <v>0</v>
      </c>
    </row>
    <row r="153" spans="1:8" x14ac:dyDescent="0.15">
      <c r="A153" s="2" t="s">
        <v>57</v>
      </c>
      <c r="B153" s="4">
        <v>2844</v>
      </c>
      <c r="C153" s="5">
        <v>25.91</v>
      </c>
      <c r="D153" s="4">
        <v>1019</v>
      </c>
      <c r="E153" s="5">
        <v>17.64</v>
      </c>
      <c r="F153" s="4">
        <v>1823</v>
      </c>
      <c r="G153" s="5">
        <v>35.24</v>
      </c>
      <c r="H153" s="4">
        <v>2</v>
      </c>
    </row>
    <row r="154" spans="1:8" x14ac:dyDescent="0.15">
      <c r="A154" s="2" t="s">
        <v>58</v>
      </c>
      <c r="B154" s="4">
        <v>70</v>
      </c>
      <c r="C154" s="5">
        <v>0.64</v>
      </c>
      <c r="D154" s="4">
        <v>5</v>
      </c>
      <c r="E154" s="5">
        <v>0.09</v>
      </c>
      <c r="F154" s="4">
        <v>65</v>
      </c>
      <c r="G154" s="5">
        <v>1.26</v>
      </c>
      <c r="H154" s="4">
        <v>0</v>
      </c>
    </row>
    <row r="155" spans="1:8" x14ac:dyDescent="0.15">
      <c r="A155" s="2" t="s">
        <v>59</v>
      </c>
      <c r="B155" s="4">
        <v>1069</v>
      </c>
      <c r="C155" s="5">
        <v>9.74</v>
      </c>
      <c r="D155" s="4">
        <v>295</v>
      </c>
      <c r="E155" s="5">
        <v>5.1100000000000003</v>
      </c>
      <c r="F155" s="4">
        <v>769</v>
      </c>
      <c r="G155" s="5">
        <v>14.87</v>
      </c>
      <c r="H155" s="4">
        <v>5</v>
      </c>
    </row>
    <row r="156" spans="1:8" x14ac:dyDescent="0.15">
      <c r="A156" s="2" t="s">
        <v>60</v>
      </c>
      <c r="B156" s="4">
        <v>1148</v>
      </c>
      <c r="C156" s="5">
        <v>10.46</v>
      </c>
      <c r="D156" s="4">
        <v>746</v>
      </c>
      <c r="E156" s="5">
        <v>12.91</v>
      </c>
      <c r="F156" s="4">
        <v>398</v>
      </c>
      <c r="G156" s="5">
        <v>7.69</v>
      </c>
      <c r="H156" s="4">
        <v>4</v>
      </c>
    </row>
    <row r="157" spans="1:8" x14ac:dyDescent="0.15">
      <c r="A157" s="2" t="s">
        <v>61</v>
      </c>
      <c r="B157" s="4">
        <v>2864</v>
      </c>
      <c r="C157" s="5">
        <v>26.1</v>
      </c>
      <c r="D157" s="4">
        <v>2542</v>
      </c>
      <c r="E157" s="5">
        <v>44</v>
      </c>
      <c r="F157" s="4">
        <v>322</v>
      </c>
      <c r="G157" s="5">
        <v>6.22</v>
      </c>
      <c r="H157" s="4">
        <v>0</v>
      </c>
    </row>
    <row r="158" spans="1:8" x14ac:dyDescent="0.15">
      <c r="A158" s="2" t="s">
        <v>62</v>
      </c>
      <c r="B158" s="4">
        <v>874</v>
      </c>
      <c r="C158" s="5">
        <v>7.96</v>
      </c>
      <c r="D158" s="4">
        <v>583</v>
      </c>
      <c r="E158" s="5">
        <v>10.09</v>
      </c>
      <c r="F158" s="4">
        <v>290</v>
      </c>
      <c r="G158" s="5">
        <v>5.61</v>
      </c>
      <c r="H158" s="4">
        <v>1</v>
      </c>
    </row>
    <row r="159" spans="1:8" x14ac:dyDescent="0.15">
      <c r="A159" s="2" t="s">
        <v>63</v>
      </c>
      <c r="B159" s="4">
        <v>243</v>
      </c>
      <c r="C159" s="5">
        <v>2.21</v>
      </c>
      <c r="D159" s="4">
        <v>133</v>
      </c>
      <c r="E159" s="5">
        <v>2.2999999999999998</v>
      </c>
      <c r="F159" s="4">
        <v>107</v>
      </c>
      <c r="G159" s="5">
        <v>2.0699999999999998</v>
      </c>
      <c r="H159" s="4">
        <v>3</v>
      </c>
    </row>
    <row r="160" spans="1:8" x14ac:dyDescent="0.15">
      <c r="A160" s="2" t="s">
        <v>64</v>
      </c>
      <c r="B160" s="4">
        <v>370</v>
      </c>
      <c r="C160" s="5">
        <v>3.37</v>
      </c>
      <c r="D160" s="4">
        <v>242</v>
      </c>
      <c r="E160" s="5">
        <v>4.1900000000000004</v>
      </c>
      <c r="F160" s="4">
        <v>124</v>
      </c>
      <c r="G160" s="5">
        <v>2.4</v>
      </c>
      <c r="H160" s="4">
        <v>4</v>
      </c>
    </row>
    <row r="161" spans="1:8" x14ac:dyDescent="0.15">
      <c r="A161" s="2" t="s">
        <v>65</v>
      </c>
      <c r="B161" s="4">
        <v>341</v>
      </c>
      <c r="C161" s="5">
        <v>3.11</v>
      </c>
      <c r="D161" s="4">
        <v>68</v>
      </c>
      <c r="E161" s="5">
        <v>1.18</v>
      </c>
      <c r="F161" s="4">
        <v>270</v>
      </c>
      <c r="G161" s="5">
        <v>5.22</v>
      </c>
      <c r="H161" s="4">
        <v>3</v>
      </c>
    </row>
    <row r="162" spans="1:8" x14ac:dyDescent="0.15">
      <c r="A162" s="1" t="s">
        <v>10</v>
      </c>
      <c r="B162" s="4">
        <v>3135</v>
      </c>
      <c r="C162" s="5">
        <v>100</v>
      </c>
      <c r="D162" s="4">
        <v>1383</v>
      </c>
      <c r="E162" s="5">
        <v>99.999999999999986</v>
      </c>
      <c r="F162" s="4">
        <v>1749</v>
      </c>
      <c r="G162" s="5">
        <v>99.990000000000009</v>
      </c>
      <c r="H162" s="4">
        <v>3</v>
      </c>
    </row>
    <row r="163" spans="1:8" x14ac:dyDescent="0.15">
      <c r="A163" s="2" t="s">
        <v>51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15">
      <c r="A164" s="2" t="s">
        <v>52</v>
      </c>
      <c r="B164" s="4">
        <v>455</v>
      </c>
      <c r="C164" s="5">
        <v>14.51</v>
      </c>
      <c r="D164" s="4">
        <v>123</v>
      </c>
      <c r="E164" s="5">
        <v>8.89</v>
      </c>
      <c r="F164" s="4">
        <v>332</v>
      </c>
      <c r="G164" s="5">
        <v>18.98</v>
      </c>
      <c r="H164" s="4">
        <v>0</v>
      </c>
    </row>
    <row r="165" spans="1:8" x14ac:dyDescent="0.15">
      <c r="A165" s="2" t="s">
        <v>53</v>
      </c>
      <c r="B165" s="4">
        <v>390</v>
      </c>
      <c r="C165" s="5">
        <v>12.44</v>
      </c>
      <c r="D165" s="4">
        <v>112</v>
      </c>
      <c r="E165" s="5">
        <v>8.1</v>
      </c>
      <c r="F165" s="4">
        <v>277</v>
      </c>
      <c r="G165" s="5">
        <v>15.84</v>
      </c>
      <c r="H165" s="4">
        <v>1</v>
      </c>
    </row>
    <row r="166" spans="1:8" x14ac:dyDescent="0.15">
      <c r="A166" s="2" t="s">
        <v>54</v>
      </c>
      <c r="B166" s="4">
        <v>1</v>
      </c>
      <c r="C166" s="5">
        <v>0.03</v>
      </c>
      <c r="D166" s="4">
        <v>0</v>
      </c>
      <c r="E166" s="5">
        <v>0</v>
      </c>
      <c r="F166" s="4">
        <v>1</v>
      </c>
      <c r="G166" s="5">
        <v>0.06</v>
      </c>
      <c r="H166" s="4">
        <v>0</v>
      </c>
    </row>
    <row r="167" spans="1:8" x14ac:dyDescent="0.15">
      <c r="A167" s="2" t="s">
        <v>55</v>
      </c>
      <c r="B167" s="4">
        <v>22</v>
      </c>
      <c r="C167" s="5">
        <v>0.7</v>
      </c>
      <c r="D167" s="4">
        <v>3</v>
      </c>
      <c r="E167" s="5">
        <v>0.22</v>
      </c>
      <c r="F167" s="4">
        <v>19</v>
      </c>
      <c r="G167" s="5">
        <v>1.0900000000000001</v>
      </c>
      <c r="H167" s="4">
        <v>0</v>
      </c>
    </row>
    <row r="168" spans="1:8" x14ac:dyDescent="0.15">
      <c r="A168" s="2" t="s">
        <v>56</v>
      </c>
      <c r="B168" s="4">
        <v>82</v>
      </c>
      <c r="C168" s="5">
        <v>2.62</v>
      </c>
      <c r="D168" s="4">
        <v>34</v>
      </c>
      <c r="E168" s="5">
        <v>2.46</v>
      </c>
      <c r="F168" s="4">
        <v>48</v>
      </c>
      <c r="G168" s="5">
        <v>2.74</v>
      </c>
      <c r="H168" s="4">
        <v>0</v>
      </c>
    </row>
    <row r="169" spans="1:8" x14ac:dyDescent="0.15">
      <c r="A169" s="2" t="s">
        <v>57</v>
      </c>
      <c r="B169" s="4">
        <v>711</v>
      </c>
      <c r="C169" s="5">
        <v>22.68</v>
      </c>
      <c r="D169" s="4">
        <v>273</v>
      </c>
      <c r="E169" s="5">
        <v>19.739999999999998</v>
      </c>
      <c r="F169" s="4">
        <v>436</v>
      </c>
      <c r="G169" s="5">
        <v>24.93</v>
      </c>
      <c r="H169" s="4">
        <v>2</v>
      </c>
    </row>
    <row r="170" spans="1:8" x14ac:dyDescent="0.15">
      <c r="A170" s="2" t="s">
        <v>58</v>
      </c>
      <c r="B170" s="4">
        <v>26</v>
      </c>
      <c r="C170" s="5">
        <v>0.83</v>
      </c>
      <c r="D170" s="4">
        <v>2</v>
      </c>
      <c r="E170" s="5">
        <v>0.14000000000000001</v>
      </c>
      <c r="F170" s="4">
        <v>24</v>
      </c>
      <c r="G170" s="5">
        <v>1.37</v>
      </c>
      <c r="H170" s="4">
        <v>0</v>
      </c>
    </row>
    <row r="171" spans="1:8" x14ac:dyDescent="0.15">
      <c r="A171" s="2" t="s">
        <v>59</v>
      </c>
      <c r="B171" s="4">
        <v>346</v>
      </c>
      <c r="C171" s="5">
        <v>11.04</v>
      </c>
      <c r="D171" s="4">
        <v>127</v>
      </c>
      <c r="E171" s="5">
        <v>9.18</v>
      </c>
      <c r="F171" s="4">
        <v>219</v>
      </c>
      <c r="G171" s="5">
        <v>12.52</v>
      </c>
      <c r="H171" s="4">
        <v>0</v>
      </c>
    </row>
    <row r="172" spans="1:8" x14ac:dyDescent="0.15">
      <c r="A172" s="2" t="s">
        <v>60</v>
      </c>
      <c r="B172" s="4">
        <v>133</v>
      </c>
      <c r="C172" s="5">
        <v>4.24</v>
      </c>
      <c r="D172" s="4">
        <v>55</v>
      </c>
      <c r="E172" s="5">
        <v>3.98</v>
      </c>
      <c r="F172" s="4">
        <v>78</v>
      </c>
      <c r="G172" s="5">
        <v>4.46</v>
      </c>
      <c r="H172" s="4">
        <v>0</v>
      </c>
    </row>
    <row r="173" spans="1:8" x14ac:dyDescent="0.15">
      <c r="A173" s="2" t="s">
        <v>61</v>
      </c>
      <c r="B173" s="4">
        <v>232</v>
      </c>
      <c r="C173" s="5">
        <v>7.4</v>
      </c>
      <c r="D173" s="4">
        <v>179</v>
      </c>
      <c r="E173" s="5">
        <v>12.94</v>
      </c>
      <c r="F173" s="4">
        <v>53</v>
      </c>
      <c r="G173" s="5">
        <v>3.03</v>
      </c>
      <c r="H173" s="4">
        <v>0</v>
      </c>
    </row>
    <row r="174" spans="1:8" x14ac:dyDescent="0.15">
      <c r="A174" s="2" t="s">
        <v>62</v>
      </c>
      <c r="B174" s="4">
        <v>294</v>
      </c>
      <c r="C174" s="5">
        <v>9.3800000000000008</v>
      </c>
      <c r="D174" s="4">
        <v>202</v>
      </c>
      <c r="E174" s="5">
        <v>14.61</v>
      </c>
      <c r="F174" s="4">
        <v>92</v>
      </c>
      <c r="G174" s="5">
        <v>5.26</v>
      </c>
      <c r="H174" s="4">
        <v>0</v>
      </c>
    </row>
    <row r="175" spans="1:8" x14ac:dyDescent="0.15">
      <c r="A175" s="2" t="s">
        <v>63</v>
      </c>
      <c r="B175" s="4">
        <v>143</v>
      </c>
      <c r="C175" s="5">
        <v>4.5599999999999996</v>
      </c>
      <c r="D175" s="4">
        <v>116</v>
      </c>
      <c r="E175" s="5">
        <v>8.39</v>
      </c>
      <c r="F175" s="4">
        <v>27</v>
      </c>
      <c r="G175" s="5">
        <v>1.54</v>
      </c>
      <c r="H175" s="4">
        <v>0</v>
      </c>
    </row>
    <row r="176" spans="1:8" x14ac:dyDescent="0.15">
      <c r="A176" s="2" t="s">
        <v>64</v>
      </c>
      <c r="B176" s="4">
        <v>156</v>
      </c>
      <c r="C176" s="5">
        <v>4.9800000000000004</v>
      </c>
      <c r="D176" s="4">
        <v>83</v>
      </c>
      <c r="E176" s="5">
        <v>6</v>
      </c>
      <c r="F176" s="4">
        <v>73</v>
      </c>
      <c r="G176" s="5">
        <v>4.17</v>
      </c>
      <c r="H176" s="4">
        <v>0</v>
      </c>
    </row>
    <row r="177" spans="1:8" x14ac:dyDescent="0.15">
      <c r="A177" s="2" t="s">
        <v>65</v>
      </c>
      <c r="B177" s="4">
        <v>144</v>
      </c>
      <c r="C177" s="5">
        <v>4.59</v>
      </c>
      <c r="D177" s="4">
        <v>74</v>
      </c>
      <c r="E177" s="5">
        <v>5.35</v>
      </c>
      <c r="F177" s="4">
        <v>70</v>
      </c>
      <c r="G177" s="5">
        <v>4</v>
      </c>
      <c r="H177" s="4">
        <v>0</v>
      </c>
    </row>
    <row r="178" spans="1:8" x14ac:dyDescent="0.15">
      <c r="A178" s="1" t="s">
        <v>11</v>
      </c>
      <c r="B178" s="4">
        <v>13734</v>
      </c>
      <c r="C178" s="5">
        <v>100.01</v>
      </c>
      <c r="D178" s="4">
        <v>8283</v>
      </c>
      <c r="E178" s="5">
        <v>99.99</v>
      </c>
      <c r="F178" s="4">
        <v>5430</v>
      </c>
      <c r="G178" s="5">
        <v>100.00000000000001</v>
      </c>
      <c r="H178" s="4">
        <v>21</v>
      </c>
    </row>
    <row r="179" spans="1:8" x14ac:dyDescent="0.15">
      <c r="A179" s="2" t="s">
        <v>51</v>
      </c>
      <c r="B179" s="4">
        <v>3</v>
      </c>
      <c r="C179" s="5">
        <v>0.02</v>
      </c>
      <c r="D179" s="4">
        <v>0</v>
      </c>
      <c r="E179" s="5">
        <v>0</v>
      </c>
      <c r="F179" s="4">
        <v>3</v>
      </c>
      <c r="G179" s="5">
        <v>0.06</v>
      </c>
      <c r="H179" s="4">
        <v>0</v>
      </c>
    </row>
    <row r="180" spans="1:8" x14ac:dyDescent="0.15">
      <c r="A180" s="2" t="s">
        <v>52</v>
      </c>
      <c r="B180" s="4">
        <v>1726</v>
      </c>
      <c r="C180" s="5">
        <v>12.57</v>
      </c>
      <c r="D180" s="4">
        <v>585</v>
      </c>
      <c r="E180" s="5">
        <v>7.06</v>
      </c>
      <c r="F180" s="4">
        <v>1141</v>
      </c>
      <c r="G180" s="5">
        <v>21.01</v>
      </c>
      <c r="H180" s="4">
        <v>0</v>
      </c>
    </row>
    <row r="181" spans="1:8" x14ac:dyDescent="0.15">
      <c r="A181" s="2" t="s">
        <v>53</v>
      </c>
      <c r="B181" s="4">
        <v>1246</v>
      </c>
      <c r="C181" s="5">
        <v>9.07</v>
      </c>
      <c r="D181" s="4">
        <v>622</v>
      </c>
      <c r="E181" s="5">
        <v>7.51</v>
      </c>
      <c r="F181" s="4">
        <v>623</v>
      </c>
      <c r="G181" s="5">
        <v>11.47</v>
      </c>
      <c r="H181" s="4">
        <v>1</v>
      </c>
    </row>
    <row r="182" spans="1:8" x14ac:dyDescent="0.15">
      <c r="A182" s="2" t="s">
        <v>54</v>
      </c>
      <c r="B182" s="4">
        <v>3</v>
      </c>
      <c r="C182" s="5">
        <v>0.02</v>
      </c>
      <c r="D182" s="4">
        <v>0</v>
      </c>
      <c r="E182" s="5">
        <v>0</v>
      </c>
      <c r="F182" s="4">
        <v>3</v>
      </c>
      <c r="G182" s="5">
        <v>0.06</v>
      </c>
      <c r="H182" s="4">
        <v>0</v>
      </c>
    </row>
    <row r="183" spans="1:8" x14ac:dyDescent="0.15">
      <c r="A183" s="2" t="s">
        <v>55</v>
      </c>
      <c r="B183" s="4">
        <v>86</v>
      </c>
      <c r="C183" s="5">
        <v>0.63</v>
      </c>
      <c r="D183" s="4">
        <v>11</v>
      </c>
      <c r="E183" s="5">
        <v>0.13</v>
      </c>
      <c r="F183" s="4">
        <v>75</v>
      </c>
      <c r="G183" s="5">
        <v>1.38</v>
      </c>
      <c r="H183" s="4">
        <v>0</v>
      </c>
    </row>
    <row r="184" spans="1:8" x14ac:dyDescent="0.15">
      <c r="A184" s="2" t="s">
        <v>56</v>
      </c>
      <c r="B184" s="4">
        <v>130</v>
      </c>
      <c r="C184" s="5">
        <v>0.95</v>
      </c>
      <c r="D184" s="4">
        <v>33</v>
      </c>
      <c r="E184" s="5">
        <v>0.4</v>
      </c>
      <c r="F184" s="4">
        <v>97</v>
      </c>
      <c r="G184" s="5">
        <v>1.79</v>
      </c>
      <c r="H184" s="4">
        <v>0</v>
      </c>
    </row>
    <row r="185" spans="1:8" x14ac:dyDescent="0.15">
      <c r="A185" s="2" t="s">
        <v>57</v>
      </c>
      <c r="B185" s="4">
        <v>3513</v>
      </c>
      <c r="C185" s="5">
        <v>25.58</v>
      </c>
      <c r="D185" s="4">
        <v>1926</v>
      </c>
      <c r="E185" s="5">
        <v>23.25</v>
      </c>
      <c r="F185" s="4">
        <v>1586</v>
      </c>
      <c r="G185" s="5">
        <v>29.21</v>
      </c>
      <c r="H185" s="4">
        <v>1</v>
      </c>
    </row>
    <row r="186" spans="1:8" x14ac:dyDescent="0.15">
      <c r="A186" s="2" t="s">
        <v>58</v>
      </c>
      <c r="B186" s="4">
        <v>116</v>
      </c>
      <c r="C186" s="5">
        <v>0.84</v>
      </c>
      <c r="D186" s="4">
        <v>27</v>
      </c>
      <c r="E186" s="5">
        <v>0.33</v>
      </c>
      <c r="F186" s="4">
        <v>88</v>
      </c>
      <c r="G186" s="5">
        <v>1.62</v>
      </c>
      <c r="H186" s="4">
        <v>1</v>
      </c>
    </row>
    <row r="187" spans="1:8" x14ac:dyDescent="0.15">
      <c r="A187" s="2" t="s">
        <v>59</v>
      </c>
      <c r="B187" s="4">
        <v>1178</v>
      </c>
      <c r="C187" s="5">
        <v>8.58</v>
      </c>
      <c r="D187" s="4">
        <v>576</v>
      </c>
      <c r="E187" s="5">
        <v>6.95</v>
      </c>
      <c r="F187" s="4">
        <v>598</v>
      </c>
      <c r="G187" s="5">
        <v>11.01</v>
      </c>
      <c r="H187" s="4">
        <v>4</v>
      </c>
    </row>
    <row r="188" spans="1:8" x14ac:dyDescent="0.15">
      <c r="A188" s="2" t="s">
        <v>60</v>
      </c>
      <c r="B188" s="4">
        <v>631</v>
      </c>
      <c r="C188" s="5">
        <v>4.59</v>
      </c>
      <c r="D188" s="4">
        <v>403</v>
      </c>
      <c r="E188" s="5">
        <v>4.87</v>
      </c>
      <c r="F188" s="4">
        <v>228</v>
      </c>
      <c r="G188" s="5">
        <v>4.2</v>
      </c>
      <c r="H188" s="4">
        <v>0</v>
      </c>
    </row>
    <row r="189" spans="1:8" x14ac:dyDescent="0.15">
      <c r="A189" s="2" t="s">
        <v>61</v>
      </c>
      <c r="B189" s="4">
        <v>1999</v>
      </c>
      <c r="C189" s="5">
        <v>14.56</v>
      </c>
      <c r="D189" s="4">
        <v>1790</v>
      </c>
      <c r="E189" s="5">
        <v>21.61</v>
      </c>
      <c r="F189" s="4">
        <v>208</v>
      </c>
      <c r="G189" s="5">
        <v>3.83</v>
      </c>
      <c r="H189" s="4">
        <v>1</v>
      </c>
    </row>
    <row r="190" spans="1:8" x14ac:dyDescent="0.15">
      <c r="A190" s="2" t="s">
        <v>62</v>
      </c>
      <c r="B190" s="4">
        <v>1594</v>
      </c>
      <c r="C190" s="5">
        <v>11.61</v>
      </c>
      <c r="D190" s="4">
        <v>1275</v>
      </c>
      <c r="E190" s="5">
        <v>15.39</v>
      </c>
      <c r="F190" s="4">
        <v>319</v>
      </c>
      <c r="G190" s="5">
        <v>5.87</v>
      </c>
      <c r="H190" s="4">
        <v>0</v>
      </c>
    </row>
    <row r="191" spans="1:8" x14ac:dyDescent="0.15">
      <c r="A191" s="2" t="s">
        <v>63</v>
      </c>
      <c r="B191" s="4">
        <v>585</v>
      </c>
      <c r="C191" s="5">
        <v>4.26</v>
      </c>
      <c r="D191" s="4">
        <v>467</v>
      </c>
      <c r="E191" s="5">
        <v>5.64</v>
      </c>
      <c r="F191" s="4">
        <v>114</v>
      </c>
      <c r="G191" s="5">
        <v>2.1</v>
      </c>
      <c r="H191" s="4">
        <v>4</v>
      </c>
    </row>
    <row r="192" spans="1:8" x14ac:dyDescent="0.15">
      <c r="A192" s="2" t="s">
        <v>64</v>
      </c>
      <c r="B192" s="4">
        <v>485</v>
      </c>
      <c r="C192" s="5">
        <v>3.53</v>
      </c>
      <c r="D192" s="4">
        <v>359</v>
      </c>
      <c r="E192" s="5">
        <v>4.33</v>
      </c>
      <c r="F192" s="4">
        <v>125</v>
      </c>
      <c r="G192" s="5">
        <v>2.2999999999999998</v>
      </c>
      <c r="H192" s="4">
        <v>1</v>
      </c>
    </row>
    <row r="193" spans="1:8" x14ac:dyDescent="0.15">
      <c r="A193" s="2" t="s">
        <v>65</v>
      </c>
      <c r="B193" s="4">
        <v>439</v>
      </c>
      <c r="C193" s="5">
        <v>3.2</v>
      </c>
      <c r="D193" s="4">
        <v>209</v>
      </c>
      <c r="E193" s="5">
        <v>2.52</v>
      </c>
      <c r="F193" s="4">
        <v>222</v>
      </c>
      <c r="G193" s="5">
        <v>4.09</v>
      </c>
      <c r="H193" s="4">
        <v>8</v>
      </c>
    </row>
    <row r="194" spans="1:8" x14ac:dyDescent="0.15">
      <c r="A194" s="1" t="s">
        <v>12</v>
      </c>
      <c r="B194" s="4">
        <v>10038</v>
      </c>
      <c r="C194" s="5">
        <v>100.00000000000001</v>
      </c>
      <c r="D194" s="4">
        <v>5880</v>
      </c>
      <c r="E194" s="5">
        <v>100.00999999999999</v>
      </c>
      <c r="F194" s="4">
        <v>4148</v>
      </c>
      <c r="G194" s="5">
        <v>100.01</v>
      </c>
      <c r="H194" s="4">
        <v>10</v>
      </c>
    </row>
    <row r="195" spans="1:8" x14ac:dyDescent="0.15">
      <c r="A195" s="2" t="s">
        <v>51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15">
      <c r="A196" s="2" t="s">
        <v>52</v>
      </c>
      <c r="B196" s="4">
        <v>1073</v>
      </c>
      <c r="C196" s="5">
        <v>10.69</v>
      </c>
      <c r="D196" s="4">
        <v>224</v>
      </c>
      <c r="E196" s="5">
        <v>3.81</v>
      </c>
      <c r="F196" s="4">
        <v>849</v>
      </c>
      <c r="G196" s="5">
        <v>20.47</v>
      </c>
      <c r="H196" s="4">
        <v>0</v>
      </c>
    </row>
    <row r="197" spans="1:8" x14ac:dyDescent="0.15">
      <c r="A197" s="2" t="s">
        <v>53</v>
      </c>
      <c r="B197" s="4">
        <v>1082</v>
      </c>
      <c r="C197" s="5">
        <v>10.78</v>
      </c>
      <c r="D197" s="4">
        <v>414</v>
      </c>
      <c r="E197" s="5">
        <v>7.04</v>
      </c>
      <c r="F197" s="4">
        <v>667</v>
      </c>
      <c r="G197" s="5">
        <v>16.079999999999998</v>
      </c>
      <c r="H197" s="4">
        <v>1</v>
      </c>
    </row>
    <row r="198" spans="1:8" x14ac:dyDescent="0.15">
      <c r="A198" s="2" t="s">
        <v>54</v>
      </c>
      <c r="B198" s="4">
        <v>1</v>
      </c>
      <c r="C198" s="5">
        <v>0.01</v>
      </c>
      <c r="D198" s="4">
        <v>0</v>
      </c>
      <c r="E198" s="5">
        <v>0</v>
      </c>
      <c r="F198" s="4">
        <v>1</v>
      </c>
      <c r="G198" s="5">
        <v>0.02</v>
      </c>
      <c r="H198" s="4">
        <v>0</v>
      </c>
    </row>
    <row r="199" spans="1:8" x14ac:dyDescent="0.15">
      <c r="A199" s="2" t="s">
        <v>55</v>
      </c>
      <c r="B199" s="4">
        <v>53</v>
      </c>
      <c r="C199" s="5">
        <v>0.53</v>
      </c>
      <c r="D199" s="4">
        <v>0</v>
      </c>
      <c r="E199" s="5">
        <v>0</v>
      </c>
      <c r="F199" s="4">
        <v>53</v>
      </c>
      <c r="G199" s="5">
        <v>1.28</v>
      </c>
      <c r="H199" s="4">
        <v>0</v>
      </c>
    </row>
    <row r="200" spans="1:8" x14ac:dyDescent="0.15">
      <c r="A200" s="2" t="s">
        <v>56</v>
      </c>
      <c r="B200" s="4">
        <v>69</v>
      </c>
      <c r="C200" s="5">
        <v>0.69</v>
      </c>
      <c r="D200" s="4">
        <v>17</v>
      </c>
      <c r="E200" s="5">
        <v>0.28999999999999998</v>
      </c>
      <c r="F200" s="4">
        <v>52</v>
      </c>
      <c r="G200" s="5">
        <v>1.25</v>
      </c>
      <c r="H200" s="4">
        <v>0</v>
      </c>
    </row>
    <row r="201" spans="1:8" x14ac:dyDescent="0.15">
      <c r="A201" s="2" t="s">
        <v>57</v>
      </c>
      <c r="B201" s="4">
        <v>2335</v>
      </c>
      <c r="C201" s="5">
        <v>23.26</v>
      </c>
      <c r="D201" s="4">
        <v>1328</v>
      </c>
      <c r="E201" s="5">
        <v>22.59</v>
      </c>
      <c r="F201" s="4">
        <v>1007</v>
      </c>
      <c r="G201" s="5">
        <v>24.28</v>
      </c>
      <c r="H201" s="4">
        <v>0</v>
      </c>
    </row>
    <row r="202" spans="1:8" x14ac:dyDescent="0.15">
      <c r="A202" s="2" t="s">
        <v>58</v>
      </c>
      <c r="B202" s="4">
        <v>34</v>
      </c>
      <c r="C202" s="5">
        <v>0.34</v>
      </c>
      <c r="D202" s="4">
        <v>6</v>
      </c>
      <c r="E202" s="5">
        <v>0.1</v>
      </c>
      <c r="F202" s="4">
        <v>28</v>
      </c>
      <c r="G202" s="5">
        <v>0.68</v>
      </c>
      <c r="H202" s="4">
        <v>0</v>
      </c>
    </row>
    <row r="203" spans="1:8" x14ac:dyDescent="0.15">
      <c r="A203" s="2" t="s">
        <v>59</v>
      </c>
      <c r="B203" s="4">
        <v>985</v>
      </c>
      <c r="C203" s="5">
        <v>9.81</v>
      </c>
      <c r="D203" s="4">
        <v>326</v>
      </c>
      <c r="E203" s="5">
        <v>5.54</v>
      </c>
      <c r="F203" s="4">
        <v>659</v>
      </c>
      <c r="G203" s="5">
        <v>15.89</v>
      </c>
      <c r="H203" s="4">
        <v>0</v>
      </c>
    </row>
    <row r="204" spans="1:8" x14ac:dyDescent="0.15">
      <c r="A204" s="2" t="s">
        <v>60</v>
      </c>
      <c r="B204" s="4">
        <v>329</v>
      </c>
      <c r="C204" s="5">
        <v>3.28</v>
      </c>
      <c r="D204" s="4">
        <v>218</v>
      </c>
      <c r="E204" s="5">
        <v>3.71</v>
      </c>
      <c r="F204" s="4">
        <v>111</v>
      </c>
      <c r="G204" s="5">
        <v>2.68</v>
      </c>
      <c r="H204" s="4">
        <v>0</v>
      </c>
    </row>
    <row r="205" spans="1:8" x14ac:dyDescent="0.15">
      <c r="A205" s="2" t="s">
        <v>61</v>
      </c>
      <c r="B205" s="4">
        <v>1810</v>
      </c>
      <c r="C205" s="5">
        <v>18.03</v>
      </c>
      <c r="D205" s="4">
        <v>1641</v>
      </c>
      <c r="E205" s="5">
        <v>27.91</v>
      </c>
      <c r="F205" s="4">
        <v>168</v>
      </c>
      <c r="G205" s="5">
        <v>4.05</v>
      </c>
      <c r="H205" s="4">
        <v>1</v>
      </c>
    </row>
    <row r="206" spans="1:8" x14ac:dyDescent="0.15">
      <c r="A206" s="2" t="s">
        <v>62</v>
      </c>
      <c r="B206" s="4">
        <v>1220</v>
      </c>
      <c r="C206" s="5">
        <v>12.15</v>
      </c>
      <c r="D206" s="4">
        <v>993</v>
      </c>
      <c r="E206" s="5">
        <v>16.89</v>
      </c>
      <c r="F206" s="4">
        <v>225</v>
      </c>
      <c r="G206" s="5">
        <v>5.42</v>
      </c>
      <c r="H206" s="4">
        <v>2</v>
      </c>
    </row>
    <row r="207" spans="1:8" x14ac:dyDescent="0.15">
      <c r="A207" s="2" t="s">
        <v>63</v>
      </c>
      <c r="B207" s="4">
        <v>326</v>
      </c>
      <c r="C207" s="5">
        <v>3.25</v>
      </c>
      <c r="D207" s="4">
        <v>251</v>
      </c>
      <c r="E207" s="5">
        <v>4.2699999999999996</v>
      </c>
      <c r="F207" s="4">
        <v>73</v>
      </c>
      <c r="G207" s="5">
        <v>1.76</v>
      </c>
      <c r="H207" s="4">
        <v>2</v>
      </c>
    </row>
    <row r="208" spans="1:8" x14ac:dyDescent="0.15">
      <c r="A208" s="2" t="s">
        <v>64</v>
      </c>
      <c r="B208" s="4">
        <v>476</v>
      </c>
      <c r="C208" s="5">
        <v>4.74</v>
      </c>
      <c r="D208" s="4">
        <v>351</v>
      </c>
      <c r="E208" s="5">
        <v>5.97</v>
      </c>
      <c r="F208" s="4">
        <v>124</v>
      </c>
      <c r="G208" s="5">
        <v>2.99</v>
      </c>
      <c r="H208" s="4">
        <v>1</v>
      </c>
    </row>
    <row r="209" spans="1:8" x14ac:dyDescent="0.15">
      <c r="A209" s="2" t="s">
        <v>65</v>
      </c>
      <c r="B209" s="4">
        <v>245</v>
      </c>
      <c r="C209" s="5">
        <v>2.44</v>
      </c>
      <c r="D209" s="4">
        <v>111</v>
      </c>
      <c r="E209" s="5">
        <v>1.89</v>
      </c>
      <c r="F209" s="4">
        <v>131</v>
      </c>
      <c r="G209" s="5">
        <v>3.16</v>
      </c>
      <c r="H209" s="4">
        <v>3</v>
      </c>
    </row>
    <row r="210" spans="1:8" x14ac:dyDescent="0.15">
      <c r="A210" s="1" t="s">
        <v>13</v>
      </c>
      <c r="B210" s="4">
        <v>4898</v>
      </c>
      <c r="C210" s="5">
        <v>99.990000000000009</v>
      </c>
      <c r="D210" s="4">
        <v>2926</v>
      </c>
      <c r="E210" s="5">
        <v>100.01</v>
      </c>
      <c r="F210" s="4">
        <v>1964</v>
      </c>
      <c r="G210" s="5">
        <v>99.990000000000009</v>
      </c>
      <c r="H210" s="4">
        <v>8</v>
      </c>
    </row>
    <row r="211" spans="1:8" x14ac:dyDescent="0.15">
      <c r="A211" s="2" t="s">
        <v>51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15">
      <c r="A212" s="2" t="s">
        <v>52</v>
      </c>
      <c r="B212" s="4">
        <v>426</v>
      </c>
      <c r="C212" s="5">
        <v>8.6999999999999993</v>
      </c>
      <c r="D212" s="4">
        <v>127</v>
      </c>
      <c r="E212" s="5">
        <v>4.34</v>
      </c>
      <c r="F212" s="4">
        <v>299</v>
      </c>
      <c r="G212" s="5">
        <v>15.22</v>
      </c>
      <c r="H212" s="4">
        <v>0</v>
      </c>
    </row>
    <row r="213" spans="1:8" x14ac:dyDescent="0.15">
      <c r="A213" s="2" t="s">
        <v>53</v>
      </c>
      <c r="B213" s="4">
        <v>339</v>
      </c>
      <c r="C213" s="5">
        <v>6.92</v>
      </c>
      <c r="D213" s="4">
        <v>134</v>
      </c>
      <c r="E213" s="5">
        <v>4.58</v>
      </c>
      <c r="F213" s="4">
        <v>205</v>
      </c>
      <c r="G213" s="5">
        <v>10.44</v>
      </c>
      <c r="H213" s="4">
        <v>0</v>
      </c>
    </row>
    <row r="214" spans="1:8" x14ac:dyDescent="0.15">
      <c r="A214" s="2" t="s">
        <v>54</v>
      </c>
      <c r="B214" s="4">
        <v>2</v>
      </c>
      <c r="C214" s="5">
        <v>0.04</v>
      </c>
      <c r="D214" s="4">
        <v>0</v>
      </c>
      <c r="E214" s="5">
        <v>0</v>
      </c>
      <c r="F214" s="4">
        <v>2</v>
      </c>
      <c r="G214" s="5">
        <v>0.1</v>
      </c>
      <c r="H214" s="4">
        <v>0</v>
      </c>
    </row>
    <row r="215" spans="1:8" x14ac:dyDescent="0.15">
      <c r="A215" s="2" t="s">
        <v>55</v>
      </c>
      <c r="B215" s="4">
        <v>24</v>
      </c>
      <c r="C215" s="5">
        <v>0.49</v>
      </c>
      <c r="D215" s="4">
        <v>1</v>
      </c>
      <c r="E215" s="5">
        <v>0.03</v>
      </c>
      <c r="F215" s="4">
        <v>23</v>
      </c>
      <c r="G215" s="5">
        <v>1.17</v>
      </c>
      <c r="H215" s="4">
        <v>0</v>
      </c>
    </row>
    <row r="216" spans="1:8" x14ac:dyDescent="0.15">
      <c r="A216" s="2" t="s">
        <v>56</v>
      </c>
      <c r="B216" s="4">
        <v>38</v>
      </c>
      <c r="C216" s="5">
        <v>0.78</v>
      </c>
      <c r="D216" s="4">
        <v>7</v>
      </c>
      <c r="E216" s="5">
        <v>0.24</v>
      </c>
      <c r="F216" s="4">
        <v>31</v>
      </c>
      <c r="G216" s="5">
        <v>1.58</v>
      </c>
      <c r="H216" s="4">
        <v>0</v>
      </c>
    </row>
    <row r="217" spans="1:8" x14ac:dyDescent="0.15">
      <c r="A217" s="2" t="s">
        <v>57</v>
      </c>
      <c r="B217" s="4">
        <v>1276</v>
      </c>
      <c r="C217" s="5">
        <v>26.05</v>
      </c>
      <c r="D217" s="4">
        <v>685</v>
      </c>
      <c r="E217" s="5">
        <v>23.41</v>
      </c>
      <c r="F217" s="4">
        <v>590</v>
      </c>
      <c r="G217" s="5">
        <v>30.04</v>
      </c>
      <c r="H217" s="4">
        <v>1</v>
      </c>
    </row>
    <row r="218" spans="1:8" x14ac:dyDescent="0.15">
      <c r="A218" s="2" t="s">
        <v>58</v>
      </c>
      <c r="B218" s="4">
        <v>29</v>
      </c>
      <c r="C218" s="5">
        <v>0.59</v>
      </c>
      <c r="D218" s="4">
        <v>4</v>
      </c>
      <c r="E218" s="5">
        <v>0.14000000000000001</v>
      </c>
      <c r="F218" s="4">
        <v>25</v>
      </c>
      <c r="G218" s="5">
        <v>1.27</v>
      </c>
      <c r="H218" s="4">
        <v>0</v>
      </c>
    </row>
    <row r="219" spans="1:8" x14ac:dyDescent="0.15">
      <c r="A219" s="2" t="s">
        <v>59</v>
      </c>
      <c r="B219" s="4">
        <v>389</v>
      </c>
      <c r="C219" s="5">
        <v>7.94</v>
      </c>
      <c r="D219" s="4">
        <v>114</v>
      </c>
      <c r="E219" s="5">
        <v>3.9</v>
      </c>
      <c r="F219" s="4">
        <v>275</v>
      </c>
      <c r="G219" s="5">
        <v>14</v>
      </c>
      <c r="H219" s="4">
        <v>0</v>
      </c>
    </row>
    <row r="220" spans="1:8" x14ac:dyDescent="0.15">
      <c r="A220" s="2" t="s">
        <v>60</v>
      </c>
      <c r="B220" s="4">
        <v>222</v>
      </c>
      <c r="C220" s="5">
        <v>4.53</v>
      </c>
      <c r="D220" s="4">
        <v>145</v>
      </c>
      <c r="E220" s="5">
        <v>4.96</v>
      </c>
      <c r="F220" s="4">
        <v>77</v>
      </c>
      <c r="G220" s="5">
        <v>3.92</v>
      </c>
      <c r="H220" s="4">
        <v>0</v>
      </c>
    </row>
    <row r="221" spans="1:8" x14ac:dyDescent="0.15">
      <c r="A221" s="2" t="s">
        <v>61</v>
      </c>
      <c r="B221" s="4">
        <v>796</v>
      </c>
      <c r="C221" s="5">
        <v>16.25</v>
      </c>
      <c r="D221" s="4">
        <v>707</v>
      </c>
      <c r="E221" s="5">
        <v>24.16</v>
      </c>
      <c r="F221" s="4">
        <v>89</v>
      </c>
      <c r="G221" s="5">
        <v>4.53</v>
      </c>
      <c r="H221" s="4">
        <v>0</v>
      </c>
    </row>
    <row r="222" spans="1:8" x14ac:dyDescent="0.15">
      <c r="A222" s="2" t="s">
        <v>62</v>
      </c>
      <c r="B222" s="4">
        <v>719</v>
      </c>
      <c r="C222" s="5">
        <v>14.68</v>
      </c>
      <c r="D222" s="4">
        <v>569</v>
      </c>
      <c r="E222" s="5">
        <v>19.45</v>
      </c>
      <c r="F222" s="4">
        <v>150</v>
      </c>
      <c r="G222" s="5">
        <v>7.64</v>
      </c>
      <c r="H222" s="4">
        <v>0</v>
      </c>
    </row>
    <row r="223" spans="1:8" x14ac:dyDescent="0.15">
      <c r="A223" s="2" t="s">
        <v>63</v>
      </c>
      <c r="B223" s="4">
        <v>242</v>
      </c>
      <c r="C223" s="5">
        <v>4.9400000000000004</v>
      </c>
      <c r="D223" s="4">
        <v>196</v>
      </c>
      <c r="E223" s="5">
        <v>6.7</v>
      </c>
      <c r="F223" s="4">
        <v>45</v>
      </c>
      <c r="G223" s="5">
        <v>2.29</v>
      </c>
      <c r="H223" s="4">
        <v>1</v>
      </c>
    </row>
    <row r="224" spans="1:8" x14ac:dyDescent="0.15">
      <c r="A224" s="2" t="s">
        <v>64</v>
      </c>
      <c r="B224" s="4">
        <v>266</v>
      </c>
      <c r="C224" s="5">
        <v>5.43</v>
      </c>
      <c r="D224" s="4">
        <v>183</v>
      </c>
      <c r="E224" s="5">
        <v>6.25</v>
      </c>
      <c r="F224" s="4">
        <v>81</v>
      </c>
      <c r="G224" s="5">
        <v>4.12</v>
      </c>
      <c r="H224" s="4">
        <v>2</v>
      </c>
    </row>
    <row r="225" spans="1:8" x14ac:dyDescent="0.15">
      <c r="A225" s="2" t="s">
        <v>65</v>
      </c>
      <c r="B225" s="4">
        <v>130</v>
      </c>
      <c r="C225" s="5">
        <v>2.65</v>
      </c>
      <c r="D225" s="4">
        <v>54</v>
      </c>
      <c r="E225" s="5">
        <v>1.85</v>
      </c>
      <c r="F225" s="4">
        <v>72</v>
      </c>
      <c r="G225" s="5">
        <v>3.67</v>
      </c>
      <c r="H225" s="4">
        <v>4</v>
      </c>
    </row>
    <row r="226" spans="1:8" x14ac:dyDescent="0.15">
      <c r="A226" s="1" t="s">
        <v>14</v>
      </c>
      <c r="B226" s="4">
        <v>7677</v>
      </c>
      <c r="C226" s="5">
        <v>99.99</v>
      </c>
      <c r="D226" s="4">
        <v>4230</v>
      </c>
      <c r="E226" s="5">
        <v>100</v>
      </c>
      <c r="F226" s="4">
        <v>3435</v>
      </c>
      <c r="G226" s="5">
        <v>100.01</v>
      </c>
      <c r="H226" s="4">
        <v>12</v>
      </c>
    </row>
    <row r="227" spans="1:8" x14ac:dyDescent="0.15">
      <c r="A227" s="2" t="s">
        <v>51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15">
      <c r="A228" s="2" t="s">
        <v>52</v>
      </c>
      <c r="B228" s="4">
        <v>625</v>
      </c>
      <c r="C228" s="5">
        <v>8.14</v>
      </c>
      <c r="D228" s="4">
        <v>125</v>
      </c>
      <c r="E228" s="5">
        <v>2.96</v>
      </c>
      <c r="F228" s="4">
        <v>500</v>
      </c>
      <c r="G228" s="5">
        <v>14.56</v>
      </c>
      <c r="H228" s="4">
        <v>0</v>
      </c>
    </row>
    <row r="229" spans="1:8" x14ac:dyDescent="0.15">
      <c r="A229" s="2" t="s">
        <v>53</v>
      </c>
      <c r="B229" s="4">
        <v>249</v>
      </c>
      <c r="C229" s="5">
        <v>3.24</v>
      </c>
      <c r="D229" s="4">
        <v>61</v>
      </c>
      <c r="E229" s="5">
        <v>1.44</v>
      </c>
      <c r="F229" s="4">
        <v>188</v>
      </c>
      <c r="G229" s="5">
        <v>5.47</v>
      </c>
      <c r="H229" s="4">
        <v>0</v>
      </c>
    </row>
    <row r="230" spans="1:8" x14ac:dyDescent="0.15">
      <c r="A230" s="2" t="s">
        <v>54</v>
      </c>
      <c r="B230" s="4">
        <v>0</v>
      </c>
      <c r="C230" s="5">
        <v>0</v>
      </c>
      <c r="D230" s="4">
        <v>0</v>
      </c>
      <c r="E230" s="5">
        <v>0</v>
      </c>
      <c r="F230" s="4">
        <v>0</v>
      </c>
      <c r="G230" s="5">
        <v>0</v>
      </c>
      <c r="H230" s="4">
        <v>0</v>
      </c>
    </row>
    <row r="231" spans="1:8" x14ac:dyDescent="0.15">
      <c r="A231" s="2" t="s">
        <v>55</v>
      </c>
      <c r="B231" s="4">
        <v>51</v>
      </c>
      <c r="C231" s="5">
        <v>0.66</v>
      </c>
      <c r="D231" s="4">
        <v>6</v>
      </c>
      <c r="E231" s="5">
        <v>0.14000000000000001</v>
      </c>
      <c r="F231" s="4">
        <v>45</v>
      </c>
      <c r="G231" s="5">
        <v>1.31</v>
      </c>
      <c r="H231" s="4">
        <v>0</v>
      </c>
    </row>
    <row r="232" spans="1:8" x14ac:dyDescent="0.15">
      <c r="A232" s="2" t="s">
        <v>56</v>
      </c>
      <c r="B232" s="4">
        <v>68</v>
      </c>
      <c r="C232" s="5">
        <v>0.89</v>
      </c>
      <c r="D232" s="4">
        <v>10</v>
      </c>
      <c r="E232" s="5">
        <v>0.24</v>
      </c>
      <c r="F232" s="4">
        <v>58</v>
      </c>
      <c r="G232" s="5">
        <v>1.69</v>
      </c>
      <c r="H232" s="4">
        <v>0</v>
      </c>
    </row>
    <row r="233" spans="1:8" x14ac:dyDescent="0.15">
      <c r="A233" s="2" t="s">
        <v>57</v>
      </c>
      <c r="B233" s="4">
        <v>1857</v>
      </c>
      <c r="C233" s="5">
        <v>24.19</v>
      </c>
      <c r="D233" s="4">
        <v>922</v>
      </c>
      <c r="E233" s="5">
        <v>21.8</v>
      </c>
      <c r="F233" s="4">
        <v>931</v>
      </c>
      <c r="G233" s="5">
        <v>27.1</v>
      </c>
      <c r="H233" s="4">
        <v>4</v>
      </c>
    </row>
    <row r="234" spans="1:8" x14ac:dyDescent="0.15">
      <c r="A234" s="2" t="s">
        <v>58</v>
      </c>
      <c r="B234" s="4">
        <v>52</v>
      </c>
      <c r="C234" s="5">
        <v>0.68</v>
      </c>
      <c r="D234" s="4">
        <v>6</v>
      </c>
      <c r="E234" s="5">
        <v>0.14000000000000001</v>
      </c>
      <c r="F234" s="4">
        <v>46</v>
      </c>
      <c r="G234" s="5">
        <v>1.34</v>
      </c>
      <c r="H234" s="4">
        <v>0</v>
      </c>
    </row>
    <row r="235" spans="1:8" x14ac:dyDescent="0.15">
      <c r="A235" s="2" t="s">
        <v>59</v>
      </c>
      <c r="B235" s="4">
        <v>1088</v>
      </c>
      <c r="C235" s="5">
        <v>14.17</v>
      </c>
      <c r="D235" s="4">
        <v>394</v>
      </c>
      <c r="E235" s="5">
        <v>9.31</v>
      </c>
      <c r="F235" s="4">
        <v>690</v>
      </c>
      <c r="G235" s="5">
        <v>20.09</v>
      </c>
      <c r="H235" s="4">
        <v>4</v>
      </c>
    </row>
    <row r="236" spans="1:8" x14ac:dyDescent="0.15">
      <c r="A236" s="2" t="s">
        <v>60</v>
      </c>
      <c r="B236" s="4">
        <v>378</v>
      </c>
      <c r="C236" s="5">
        <v>4.92</v>
      </c>
      <c r="D236" s="4">
        <v>216</v>
      </c>
      <c r="E236" s="5">
        <v>5.1100000000000003</v>
      </c>
      <c r="F236" s="4">
        <v>162</v>
      </c>
      <c r="G236" s="5">
        <v>4.72</v>
      </c>
      <c r="H236" s="4">
        <v>0</v>
      </c>
    </row>
    <row r="237" spans="1:8" x14ac:dyDescent="0.15">
      <c r="A237" s="2" t="s">
        <v>61</v>
      </c>
      <c r="B237" s="4">
        <v>1216</v>
      </c>
      <c r="C237" s="5">
        <v>15.84</v>
      </c>
      <c r="D237" s="4">
        <v>1033</v>
      </c>
      <c r="E237" s="5">
        <v>24.42</v>
      </c>
      <c r="F237" s="4">
        <v>183</v>
      </c>
      <c r="G237" s="5">
        <v>5.33</v>
      </c>
      <c r="H237" s="4">
        <v>0</v>
      </c>
    </row>
    <row r="238" spans="1:8" x14ac:dyDescent="0.15">
      <c r="A238" s="2" t="s">
        <v>62</v>
      </c>
      <c r="B238" s="4">
        <v>1035</v>
      </c>
      <c r="C238" s="5">
        <v>13.48</v>
      </c>
      <c r="D238" s="4">
        <v>786</v>
      </c>
      <c r="E238" s="5">
        <v>18.579999999999998</v>
      </c>
      <c r="F238" s="4">
        <v>249</v>
      </c>
      <c r="G238" s="5">
        <v>7.25</v>
      </c>
      <c r="H238" s="4">
        <v>0</v>
      </c>
    </row>
    <row r="239" spans="1:8" x14ac:dyDescent="0.15">
      <c r="A239" s="2" t="s">
        <v>63</v>
      </c>
      <c r="B239" s="4">
        <v>375</v>
      </c>
      <c r="C239" s="5">
        <v>4.88</v>
      </c>
      <c r="D239" s="4">
        <v>243</v>
      </c>
      <c r="E239" s="5">
        <v>5.74</v>
      </c>
      <c r="F239" s="4">
        <v>131</v>
      </c>
      <c r="G239" s="5">
        <v>3.81</v>
      </c>
      <c r="H239" s="4">
        <v>1</v>
      </c>
    </row>
    <row r="240" spans="1:8" x14ac:dyDescent="0.15">
      <c r="A240" s="2" t="s">
        <v>64</v>
      </c>
      <c r="B240" s="4">
        <v>504</v>
      </c>
      <c r="C240" s="5">
        <v>6.57</v>
      </c>
      <c r="D240" s="4">
        <v>376</v>
      </c>
      <c r="E240" s="5">
        <v>8.89</v>
      </c>
      <c r="F240" s="4">
        <v>127</v>
      </c>
      <c r="G240" s="5">
        <v>3.7</v>
      </c>
      <c r="H240" s="4">
        <v>1</v>
      </c>
    </row>
    <row r="241" spans="1:8" x14ac:dyDescent="0.15">
      <c r="A241" s="2" t="s">
        <v>65</v>
      </c>
      <c r="B241" s="4">
        <v>179</v>
      </c>
      <c r="C241" s="5">
        <v>2.33</v>
      </c>
      <c r="D241" s="4">
        <v>52</v>
      </c>
      <c r="E241" s="5">
        <v>1.23</v>
      </c>
      <c r="F241" s="4">
        <v>125</v>
      </c>
      <c r="G241" s="5">
        <v>3.64</v>
      </c>
      <c r="H241" s="4">
        <v>2</v>
      </c>
    </row>
    <row r="242" spans="1:8" x14ac:dyDescent="0.15">
      <c r="A242" s="1" t="s">
        <v>15</v>
      </c>
      <c r="B242" s="4">
        <v>1548</v>
      </c>
      <c r="C242" s="5">
        <v>100.01</v>
      </c>
      <c r="D242" s="4">
        <v>1071</v>
      </c>
      <c r="E242" s="5">
        <v>100.00999999999999</v>
      </c>
      <c r="F242" s="4">
        <v>475</v>
      </c>
      <c r="G242" s="5">
        <v>100</v>
      </c>
      <c r="H242" s="4">
        <v>2</v>
      </c>
    </row>
    <row r="243" spans="1:8" x14ac:dyDescent="0.15">
      <c r="A243" s="2" t="s">
        <v>51</v>
      </c>
      <c r="B243" s="4">
        <v>1</v>
      </c>
      <c r="C243" s="5">
        <v>0.06</v>
      </c>
      <c r="D243" s="4">
        <v>0</v>
      </c>
      <c r="E243" s="5">
        <v>0</v>
      </c>
      <c r="F243" s="4">
        <v>1</v>
      </c>
      <c r="G243" s="5">
        <v>0.21</v>
      </c>
      <c r="H243" s="4">
        <v>0</v>
      </c>
    </row>
    <row r="244" spans="1:8" x14ac:dyDescent="0.15">
      <c r="A244" s="2" t="s">
        <v>52</v>
      </c>
      <c r="B244" s="4">
        <v>160</v>
      </c>
      <c r="C244" s="5">
        <v>10.34</v>
      </c>
      <c r="D244" s="4">
        <v>79</v>
      </c>
      <c r="E244" s="5">
        <v>7.38</v>
      </c>
      <c r="F244" s="4">
        <v>81</v>
      </c>
      <c r="G244" s="5">
        <v>17.05</v>
      </c>
      <c r="H244" s="4">
        <v>0</v>
      </c>
    </row>
    <row r="245" spans="1:8" x14ac:dyDescent="0.15">
      <c r="A245" s="2" t="s">
        <v>53</v>
      </c>
      <c r="B245" s="4">
        <v>116</v>
      </c>
      <c r="C245" s="5">
        <v>7.49</v>
      </c>
      <c r="D245" s="4">
        <v>71</v>
      </c>
      <c r="E245" s="5">
        <v>6.63</v>
      </c>
      <c r="F245" s="4">
        <v>45</v>
      </c>
      <c r="G245" s="5">
        <v>9.4700000000000006</v>
      </c>
      <c r="H245" s="4">
        <v>0</v>
      </c>
    </row>
    <row r="246" spans="1:8" x14ac:dyDescent="0.15">
      <c r="A246" s="2" t="s">
        <v>54</v>
      </c>
      <c r="B246" s="4">
        <v>0</v>
      </c>
      <c r="C246" s="5">
        <v>0</v>
      </c>
      <c r="D246" s="4">
        <v>0</v>
      </c>
      <c r="E246" s="5">
        <v>0</v>
      </c>
      <c r="F246" s="4">
        <v>0</v>
      </c>
      <c r="G246" s="5">
        <v>0</v>
      </c>
      <c r="H246" s="4">
        <v>0</v>
      </c>
    </row>
    <row r="247" spans="1:8" x14ac:dyDescent="0.15">
      <c r="A247" s="2" t="s">
        <v>55</v>
      </c>
      <c r="B247" s="4">
        <v>12</v>
      </c>
      <c r="C247" s="5">
        <v>0.78</v>
      </c>
      <c r="D247" s="4">
        <v>2</v>
      </c>
      <c r="E247" s="5">
        <v>0.19</v>
      </c>
      <c r="F247" s="4">
        <v>10</v>
      </c>
      <c r="G247" s="5">
        <v>2.11</v>
      </c>
      <c r="H247" s="4">
        <v>0</v>
      </c>
    </row>
    <row r="248" spans="1:8" x14ac:dyDescent="0.15">
      <c r="A248" s="2" t="s">
        <v>56</v>
      </c>
      <c r="B248" s="4">
        <v>15</v>
      </c>
      <c r="C248" s="5">
        <v>0.97</v>
      </c>
      <c r="D248" s="4">
        <v>4</v>
      </c>
      <c r="E248" s="5">
        <v>0.37</v>
      </c>
      <c r="F248" s="4">
        <v>11</v>
      </c>
      <c r="G248" s="5">
        <v>2.3199999999999998</v>
      </c>
      <c r="H248" s="4">
        <v>0</v>
      </c>
    </row>
    <row r="249" spans="1:8" x14ac:dyDescent="0.15">
      <c r="A249" s="2" t="s">
        <v>57</v>
      </c>
      <c r="B249" s="4">
        <v>436</v>
      </c>
      <c r="C249" s="5">
        <v>28.17</v>
      </c>
      <c r="D249" s="4">
        <v>288</v>
      </c>
      <c r="E249" s="5">
        <v>26.89</v>
      </c>
      <c r="F249" s="4">
        <v>148</v>
      </c>
      <c r="G249" s="5">
        <v>31.16</v>
      </c>
      <c r="H249" s="4">
        <v>0</v>
      </c>
    </row>
    <row r="250" spans="1:8" x14ac:dyDescent="0.15">
      <c r="A250" s="2" t="s">
        <v>58</v>
      </c>
      <c r="B250" s="4">
        <v>13</v>
      </c>
      <c r="C250" s="5">
        <v>0.84</v>
      </c>
      <c r="D250" s="4">
        <v>2</v>
      </c>
      <c r="E250" s="5">
        <v>0.19</v>
      </c>
      <c r="F250" s="4">
        <v>11</v>
      </c>
      <c r="G250" s="5">
        <v>2.3199999999999998</v>
      </c>
      <c r="H250" s="4">
        <v>0</v>
      </c>
    </row>
    <row r="251" spans="1:8" x14ac:dyDescent="0.15">
      <c r="A251" s="2" t="s">
        <v>59</v>
      </c>
      <c r="B251" s="4">
        <v>140</v>
      </c>
      <c r="C251" s="5">
        <v>9.0399999999999991</v>
      </c>
      <c r="D251" s="4">
        <v>83</v>
      </c>
      <c r="E251" s="5">
        <v>7.75</v>
      </c>
      <c r="F251" s="4">
        <v>57</v>
      </c>
      <c r="G251" s="5">
        <v>12</v>
      </c>
      <c r="H251" s="4">
        <v>0</v>
      </c>
    </row>
    <row r="252" spans="1:8" x14ac:dyDescent="0.15">
      <c r="A252" s="2" t="s">
        <v>60</v>
      </c>
      <c r="B252" s="4">
        <v>66</v>
      </c>
      <c r="C252" s="5">
        <v>4.26</v>
      </c>
      <c r="D252" s="4">
        <v>49</v>
      </c>
      <c r="E252" s="5">
        <v>4.58</v>
      </c>
      <c r="F252" s="4">
        <v>17</v>
      </c>
      <c r="G252" s="5">
        <v>3.58</v>
      </c>
      <c r="H252" s="4">
        <v>0</v>
      </c>
    </row>
    <row r="253" spans="1:8" x14ac:dyDescent="0.15">
      <c r="A253" s="2" t="s">
        <v>61</v>
      </c>
      <c r="B253" s="4">
        <v>241</v>
      </c>
      <c r="C253" s="5">
        <v>15.57</v>
      </c>
      <c r="D253" s="4">
        <v>222</v>
      </c>
      <c r="E253" s="5">
        <v>20.73</v>
      </c>
      <c r="F253" s="4">
        <v>19</v>
      </c>
      <c r="G253" s="5">
        <v>4</v>
      </c>
      <c r="H253" s="4">
        <v>0</v>
      </c>
    </row>
    <row r="254" spans="1:8" x14ac:dyDescent="0.15">
      <c r="A254" s="2" t="s">
        <v>62</v>
      </c>
      <c r="B254" s="4">
        <v>173</v>
      </c>
      <c r="C254" s="5">
        <v>11.18</v>
      </c>
      <c r="D254" s="4">
        <v>152</v>
      </c>
      <c r="E254" s="5">
        <v>14.19</v>
      </c>
      <c r="F254" s="4">
        <v>21</v>
      </c>
      <c r="G254" s="5">
        <v>4.42</v>
      </c>
      <c r="H254" s="4">
        <v>0</v>
      </c>
    </row>
    <row r="255" spans="1:8" x14ac:dyDescent="0.15">
      <c r="A255" s="2" t="s">
        <v>63</v>
      </c>
      <c r="B255" s="4">
        <v>48</v>
      </c>
      <c r="C255" s="5">
        <v>3.1</v>
      </c>
      <c r="D255" s="4">
        <v>42</v>
      </c>
      <c r="E255" s="5">
        <v>3.92</v>
      </c>
      <c r="F255" s="4">
        <v>6</v>
      </c>
      <c r="G255" s="5">
        <v>1.26</v>
      </c>
      <c r="H255" s="4">
        <v>0</v>
      </c>
    </row>
    <row r="256" spans="1:8" x14ac:dyDescent="0.15">
      <c r="A256" s="2" t="s">
        <v>64</v>
      </c>
      <c r="B256" s="4">
        <v>67</v>
      </c>
      <c r="C256" s="5">
        <v>4.33</v>
      </c>
      <c r="D256" s="4">
        <v>46</v>
      </c>
      <c r="E256" s="5">
        <v>4.3</v>
      </c>
      <c r="F256" s="4">
        <v>21</v>
      </c>
      <c r="G256" s="5">
        <v>4.42</v>
      </c>
      <c r="H256" s="4">
        <v>0</v>
      </c>
    </row>
    <row r="257" spans="1:8" x14ac:dyDescent="0.15">
      <c r="A257" s="2" t="s">
        <v>65</v>
      </c>
      <c r="B257" s="4">
        <v>60</v>
      </c>
      <c r="C257" s="5">
        <v>3.88</v>
      </c>
      <c r="D257" s="4">
        <v>31</v>
      </c>
      <c r="E257" s="5">
        <v>2.89</v>
      </c>
      <c r="F257" s="4">
        <v>27</v>
      </c>
      <c r="G257" s="5">
        <v>5.68</v>
      </c>
      <c r="H257" s="4">
        <v>2</v>
      </c>
    </row>
    <row r="258" spans="1:8" x14ac:dyDescent="0.15">
      <c r="A258" s="1" t="s">
        <v>16</v>
      </c>
      <c r="B258" s="4">
        <v>1649</v>
      </c>
      <c r="C258" s="5">
        <v>99.999999999999986</v>
      </c>
      <c r="D258" s="4">
        <v>757</v>
      </c>
      <c r="E258" s="5">
        <v>99.999999999999986</v>
      </c>
      <c r="F258" s="4">
        <v>886</v>
      </c>
      <c r="G258" s="5">
        <v>100.01000000000002</v>
      </c>
      <c r="H258" s="4">
        <v>6</v>
      </c>
    </row>
    <row r="259" spans="1:8" x14ac:dyDescent="0.15">
      <c r="A259" s="2" t="s">
        <v>51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15">
      <c r="A260" s="2" t="s">
        <v>52</v>
      </c>
      <c r="B260" s="4">
        <v>94</v>
      </c>
      <c r="C260" s="5">
        <v>5.7</v>
      </c>
      <c r="D260" s="4">
        <v>22</v>
      </c>
      <c r="E260" s="5">
        <v>2.91</v>
      </c>
      <c r="F260" s="4">
        <v>72</v>
      </c>
      <c r="G260" s="5">
        <v>8.1300000000000008</v>
      </c>
      <c r="H260" s="4">
        <v>0</v>
      </c>
    </row>
    <row r="261" spans="1:8" x14ac:dyDescent="0.15">
      <c r="A261" s="2" t="s">
        <v>53</v>
      </c>
      <c r="B261" s="4">
        <v>34</v>
      </c>
      <c r="C261" s="5">
        <v>2.06</v>
      </c>
      <c r="D261" s="4">
        <v>4</v>
      </c>
      <c r="E261" s="5">
        <v>0.53</v>
      </c>
      <c r="F261" s="4">
        <v>30</v>
      </c>
      <c r="G261" s="5">
        <v>3.39</v>
      </c>
      <c r="H261" s="4">
        <v>0</v>
      </c>
    </row>
    <row r="262" spans="1:8" x14ac:dyDescent="0.15">
      <c r="A262" s="2" t="s">
        <v>54</v>
      </c>
      <c r="B262" s="4">
        <v>0</v>
      </c>
      <c r="C262" s="5">
        <v>0</v>
      </c>
      <c r="D262" s="4">
        <v>0</v>
      </c>
      <c r="E262" s="5">
        <v>0</v>
      </c>
      <c r="F262" s="4">
        <v>0</v>
      </c>
      <c r="G262" s="5">
        <v>0</v>
      </c>
      <c r="H262" s="4">
        <v>0</v>
      </c>
    </row>
    <row r="263" spans="1:8" x14ac:dyDescent="0.15">
      <c r="A263" s="2" t="s">
        <v>55</v>
      </c>
      <c r="B263" s="4">
        <v>18</v>
      </c>
      <c r="C263" s="5">
        <v>1.0900000000000001</v>
      </c>
      <c r="D263" s="4">
        <v>2</v>
      </c>
      <c r="E263" s="5">
        <v>0.26</v>
      </c>
      <c r="F263" s="4">
        <v>16</v>
      </c>
      <c r="G263" s="5">
        <v>1.81</v>
      </c>
      <c r="H263" s="4">
        <v>0</v>
      </c>
    </row>
    <row r="264" spans="1:8" x14ac:dyDescent="0.15">
      <c r="A264" s="2" t="s">
        <v>56</v>
      </c>
      <c r="B264" s="4">
        <v>10</v>
      </c>
      <c r="C264" s="5">
        <v>0.61</v>
      </c>
      <c r="D264" s="4">
        <v>3</v>
      </c>
      <c r="E264" s="5">
        <v>0.4</v>
      </c>
      <c r="F264" s="4">
        <v>7</v>
      </c>
      <c r="G264" s="5">
        <v>0.79</v>
      </c>
      <c r="H264" s="4">
        <v>0</v>
      </c>
    </row>
    <row r="265" spans="1:8" x14ac:dyDescent="0.15">
      <c r="A265" s="2" t="s">
        <v>57</v>
      </c>
      <c r="B265" s="4">
        <v>457</v>
      </c>
      <c r="C265" s="5">
        <v>27.71</v>
      </c>
      <c r="D265" s="4">
        <v>205</v>
      </c>
      <c r="E265" s="5">
        <v>27.08</v>
      </c>
      <c r="F265" s="4">
        <v>250</v>
      </c>
      <c r="G265" s="5">
        <v>28.22</v>
      </c>
      <c r="H265" s="4">
        <v>2</v>
      </c>
    </row>
    <row r="266" spans="1:8" x14ac:dyDescent="0.15">
      <c r="A266" s="2" t="s">
        <v>58</v>
      </c>
      <c r="B266" s="4">
        <v>5</v>
      </c>
      <c r="C266" s="5">
        <v>0.3</v>
      </c>
      <c r="D266" s="4">
        <v>0</v>
      </c>
      <c r="E266" s="5">
        <v>0</v>
      </c>
      <c r="F266" s="4">
        <v>5</v>
      </c>
      <c r="G266" s="5">
        <v>0.56000000000000005</v>
      </c>
      <c r="H266" s="4">
        <v>0</v>
      </c>
    </row>
    <row r="267" spans="1:8" x14ac:dyDescent="0.15">
      <c r="A267" s="2" t="s">
        <v>59</v>
      </c>
      <c r="B267" s="4">
        <v>266</v>
      </c>
      <c r="C267" s="5">
        <v>16.13</v>
      </c>
      <c r="D267" s="4">
        <v>24</v>
      </c>
      <c r="E267" s="5">
        <v>3.17</v>
      </c>
      <c r="F267" s="4">
        <v>240</v>
      </c>
      <c r="G267" s="5">
        <v>27.09</v>
      </c>
      <c r="H267" s="4">
        <v>2</v>
      </c>
    </row>
    <row r="268" spans="1:8" x14ac:dyDescent="0.15">
      <c r="A268" s="2" t="s">
        <v>60</v>
      </c>
      <c r="B268" s="4">
        <v>109</v>
      </c>
      <c r="C268" s="5">
        <v>6.61</v>
      </c>
      <c r="D268" s="4">
        <v>51</v>
      </c>
      <c r="E268" s="5">
        <v>6.74</v>
      </c>
      <c r="F268" s="4">
        <v>58</v>
      </c>
      <c r="G268" s="5">
        <v>6.55</v>
      </c>
      <c r="H268" s="4">
        <v>0</v>
      </c>
    </row>
    <row r="269" spans="1:8" x14ac:dyDescent="0.15">
      <c r="A269" s="2" t="s">
        <v>61</v>
      </c>
      <c r="B269" s="4">
        <v>216</v>
      </c>
      <c r="C269" s="5">
        <v>13.1</v>
      </c>
      <c r="D269" s="4">
        <v>152</v>
      </c>
      <c r="E269" s="5">
        <v>20.079999999999998</v>
      </c>
      <c r="F269" s="4">
        <v>64</v>
      </c>
      <c r="G269" s="5">
        <v>7.22</v>
      </c>
      <c r="H269" s="4">
        <v>0</v>
      </c>
    </row>
    <row r="270" spans="1:8" x14ac:dyDescent="0.15">
      <c r="A270" s="2" t="s">
        <v>62</v>
      </c>
      <c r="B270" s="4">
        <v>216</v>
      </c>
      <c r="C270" s="5">
        <v>13.1</v>
      </c>
      <c r="D270" s="4">
        <v>149</v>
      </c>
      <c r="E270" s="5">
        <v>19.68</v>
      </c>
      <c r="F270" s="4">
        <v>67</v>
      </c>
      <c r="G270" s="5">
        <v>7.56</v>
      </c>
      <c r="H270" s="4">
        <v>0</v>
      </c>
    </row>
    <row r="271" spans="1:8" x14ac:dyDescent="0.15">
      <c r="A271" s="2" t="s">
        <v>63</v>
      </c>
      <c r="B271" s="4">
        <v>87</v>
      </c>
      <c r="C271" s="5">
        <v>5.28</v>
      </c>
      <c r="D271" s="4">
        <v>47</v>
      </c>
      <c r="E271" s="5">
        <v>6.21</v>
      </c>
      <c r="F271" s="4">
        <v>39</v>
      </c>
      <c r="G271" s="5">
        <v>4.4000000000000004</v>
      </c>
      <c r="H271" s="4">
        <v>1</v>
      </c>
    </row>
    <row r="272" spans="1:8" x14ac:dyDescent="0.15">
      <c r="A272" s="2" t="s">
        <v>64</v>
      </c>
      <c r="B272" s="4">
        <v>108</v>
      </c>
      <c r="C272" s="5">
        <v>6.55</v>
      </c>
      <c r="D272" s="4">
        <v>87</v>
      </c>
      <c r="E272" s="5">
        <v>11.49</v>
      </c>
      <c r="F272" s="4">
        <v>21</v>
      </c>
      <c r="G272" s="5">
        <v>2.37</v>
      </c>
      <c r="H272" s="4">
        <v>0</v>
      </c>
    </row>
    <row r="273" spans="1:8" x14ac:dyDescent="0.15">
      <c r="A273" s="2" t="s">
        <v>65</v>
      </c>
      <c r="B273" s="4">
        <v>29</v>
      </c>
      <c r="C273" s="5">
        <v>1.76</v>
      </c>
      <c r="D273" s="4">
        <v>11</v>
      </c>
      <c r="E273" s="5">
        <v>1.45</v>
      </c>
      <c r="F273" s="4">
        <v>17</v>
      </c>
      <c r="G273" s="5">
        <v>1.92</v>
      </c>
      <c r="H273" s="4">
        <v>1</v>
      </c>
    </row>
    <row r="274" spans="1:8" x14ac:dyDescent="0.15">
      <c r="A274" s="1" t="s">
        <v>17</v>
      </c>
      <c r="B274" s="4">
        <v>3073</v>
      </c>
      <c r="C274" s="5">
        <v>99.999999999999986</v>
      </c>
      <c r="D274" s="4">
        <v>1624</v>
      </c>
      <c r="E274" s="5">
        <v>100.01</v>
      </c>
      <c r="F274" s="4">
        <v>1445</v>
      </c>
      <c r="G274" s="5">
        <v>100</v>
      </c>
      <c r="H274" s="4">
        <v>4</v>
      </c>
    </row>
    <row r="275" spans="1:8" x14ac:dyDescent="0.15">
      <c r="A275" s="2" t="s">
        <v>51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15">
      <c r="A276" s="2" t="s">
        <v>52</v>
      </c>
      <c r="B276" s="4">
        <v>386</v>
      </c>
      <c r="C276" s="5">
        <v>12.56</v>
      </c>
      <c r="D276" s="4">
        <v>75</v>
      </c>
      <c r="E276" s="5">
        <v>4.62</v>
      </c>
      <c r="F276" s="4">
        <v>311</v>
      </c>
      <c r="G276" s="5">
        <v>21.52</v>
      </c>
      <c r="H276" s="4">
        <v>0</v>
      </c>
    </row>
    <row r="277" spans="1:8" x14ac:dyDescent="0.15">
      <c r="A277" s="2" t="s">
        <v>53</v>
      </c>
      <c r="B277" s="4">
        <v>254</v>
      </c>
      <c r="C277" s="5">
        <v>8.27</v>
      </c>
      <c r="D277" s="4">
        <v>78</v>
      </c>
      <c r="E277" s="5">
        <v>4.8</v>
      </c>
      <c r="F277" s="4">
        <v>176</v>
      </c>
      <c r="G277" s="5">
        <v>12.18</v>
      </c>
      <c r="H277" s="4">
        <v>0</v>
      </c>
    </row>
    <row r="278" spans="1:8" x14ac:dyDescent="0.15">
      <c r="A278" s="2" t="s">
        <v>54</v>
      </c>
      <c r="B278" s="4">
        <v>0</v>
      </c>
      <c r="C278" s="5">
        <v>0</v>
      </c>
      <c r="D278" s="4">
        <v>0</v>
      </c>
      <c r="E278" s="5">
        <v>0</v>
      </c>
      <c r="F278" s="4">
        <v>0</v>
      </c>
      <c r="G278" s="5">
        <v>0</v>
      </c>
      <c r="H278" s="4">
        <v>0</v>
      </c>
    </row>
    <row r="279" spans="1:8" x14ac:dyDescent="0.15">
      <c r="A279" s="2" t="s">
        <v>55</v>
      </c>
      <c r="B279" s="4">
        <v>15</v>
      </c>
      <c r="C279" s="5">
        <v>0.49</v>
      </c>
      <c r="D279" s="4">
        <v>0</v>
      </c>
      <c r="E279" s="5">
        <v>0</v>
      </c>
      <c r="F279" s="4">
        <v>15</v>
      </c>
      <c r="G279" s="5">
        <v>1.04</v>
      </c>
      <c r="H279" s="4">
        <v>0</v>
      </c>
    </row>
    <row r="280" spans="1:8" x14ac:dyDescent="0.15">
      <c r="A280" s="2" t="s">
        <v>56</v>
      </c>
      <c r="B280" s="4">
        <v>28</v>
      </c>
      <c r="C280" s="5">
        <v>0.91</v>
      </c>
      <c r="D280" s="4">
        <v>3</v>
      </c>
      <c r="E280" s="5">
        <v>0.18</v>
      </c>
      <c r="F280" s="4">
        <v>25</v>
      </c>
      <c r="G280" s="5">
        <v>1.73</v>
      </c>
      <c r="H280" s="4">
        <v>0</v>
      </c>
    </row>
    <row r="281" spans="1:8" x14ac:dyDescent="0.15">
      <c r="A281" s="2" t="s">
        <v>57</v>
      </c>
      <c r="B281" s="4">
        <v>736</v>
      </c>
      <c r="C281" s="5">
        <v>23.95</v>
      </c>
      <c r="D281" s="4">
        <v>381</v>
      </c>
      <c r="E281" s="5">
        <v>23.46</v>
      </c>
      <c r="F281" s="4">
        <v>352</v>
      </c>
      <c r="G281" s="5">
        <v>24.36</v>
      </c>
      <c r="H281" s="4">
        <v>3</v>
      </c>
    </row>
    <row r="282" spans="1:8" x14ac:dyDescent="0.15">
      <c r="A282" s="2" t="s">
        <v>58</v>
      </c>
      <c r="B282" s="4">
        <v>19</v>
      </c>
      <c r="C282" s="5">
        <v>0.62</v>
      </c>
      <c r="D282" s="4">
        <v>4</v>
      </c>
      <c r="E282" s="5">
        <v>0.25</v>
      </c>
      <c r="F282" s="4">
        <v>15</v>
      </c>
      <c r="G282" s="5">
        <v>1.04</v>
      </c>
      <c r="H282" s="4">
        <v>0</v>
      </c>
    </row>
    <row r="283" spans="1:8" x14ac:dyDescent="0.15">
      <c r="A283" s="2" t="s">
        <v>59</v>
      </c>
      <c r="B283" s="4">
        <v>312</v>
      </c>
      <c r="C283" s="5">
        <v>10.15</v>
      </c>
      <c r="D283" s="4">
        <v>68</v>
      </c>
      <c r="E283" s="5">
        <v>4.1900000000000004</v>
      </c>
      <c r="F283" s="4">
        <v>244</v>
      </c>
      <c r="G283" s="5">
        <v>16.89</v>
      </c>
      <c r="H283" s="4">
        <v>0</v>
      </c>
    </row>
    <row r="284" spans="1:8" x14ac:dyDescent="0.15">
      <c r="A284" s="2" t="s">
        <v>60</v>
      </c>
      <c r="B284" s="4">
        <v>115</v>
      </c>
      <c r="C284" s="5">
        <v>3.74</v>
      </c>
      <c r="D284" s="4">
        <v>69</v>
      </c>
      <c r="E284" s="5">
        <v>4.25</v>
      </c>
      <c r="F284" s="4">
        <v>46</v>
      </c>
      <c r="G284" s="5">
        <v>3.18</v>
      </c>
      <c r="H284" s="4">
        <v>0</v>
      </c>
    </row>
    <row r="285" spans="1:8" x14ac:dyDescent="0.15">
      <c r="A285" s="2" t="s">
        <v>61</v>
      </c>
      <c r="B285" s="4">
        <v>440</v>
      </c>
      <c r="C285" s="5">
        <v>14.32</v>
      </c>
      <c r="D285" s="4">
        <v>385</v>
      </c>
      <c r="E285" s="5">
        <v>23.71</v>
      </c>
      <c r="F285" s="4">
        <v>55</v>
      </c>
      <c r="G285" s="5">
        <v>3.81</v>
      </c>
      <c r="H285" s="4">
        <v>0</v>
      </c>
    </row>
    <row r="286" spans="1:8" x14ac:dyDescent="0.15">
      <c r="A286" s="2" t="s">
        <v>62</v>
      </c>
      <c r="B286" s="4">
        <v>404</v>
      </c>
      <c r="C286" s="5">
        <v>13.15</v>
      </c>
      <c r="D286" s="4">
        <v>322</v>
      </c>
      <c r="E286" s="5">
        <v>19.829999999999998</v>
      </c>
      <c r="F286" s="4">
        <v>82</v>
      </c>
      <c r="G286" s="5">
        <v>5.67</v>
      </c>
      <c r="H286" s="4">
        <v>0</v>
      </c>
    </row>
    <row r="287" spans="1:8" x14ac:dyDescent="0.15">
      <c r="A287" s="2" t="s">
        <v>63</v>
      </c>
      <c r="B287" s="4">
        <v>133</v>
      </c>
      <c r="C287" s="5">
        <v>4.33</v>
      </c>
      <c r="D287" s="4">
        <v>95</v>
      </c>
      <c r="E287" s="5">
        <v>5.85</v>
      </c>
      <c r="F287" s="4">
        <v>37</v>
      </c>
      <c r="G287" s="5">
        <v>2.56</v>
      </c>
      <c r="H287" s="4">
        <v>1</v>
      </c>
    </row>
    <row r="288" spans="1:8" x14ac:dyDescent="0.15">
      <c r="A288" s="2" t="s">
        <v>64</v>
      </c>
      <c r="B288" s="4">
        <v>163</v>
      </c>
      <c r="C288" s="5">
        <v>5.3</v>
      </c>
      <c r="D288" s="4">
        <v>112</v>
      </c>
      <c r="E288" s="5">
        <v>6.9</v>
      </c>
      <c r="F288" s="4">
        <v>51</v>
      </c>
      <c r="G288" s="5">
        <v>3.53</v>
      </c>
      <c r="H288" s="4">
        <v>0</v>
      </c>
    </row>
    <row r="289" spans="1:8" x14ac:dyDescent="0.15">
      <c r="A289" s="2" t="s">
        <v>65</v>
      </c>
      <c r="B289" s="4">
        <v>68</v>
      </c>
      <c r="C289" s="5">
        <v>2.21</v>
      </c>
      <c r="D289" s="4">
        <v>32</v>
      </c>
      <c r="E289" s="5">
        <v>1.97</v>
      </c>
      <c r="F289" s="4">
        <v>36</v>
      </c>
      <c r="G289" s="5">
        <v>2.4900000000000002</v>
      </c>
      <c r="H289" s="4">
        <v>0</v>
      </c>
    </row>
    <row r="290" spans="1:8" x14ac:dyDescent="0.15">
      <c r="A290" s="1" t="s">
        <v>18</v>
      </c>
      <c r="B290" s="4">
        <v>806</v>
      </c>
      <c r="C290" s="5">
        <v>100</v>
      </c>
      <c r="D290" s="4">
        <v>539</v>
      </c>
      <c r="E290" s="5">
        <v>100.00000000000001</v>
      </c>
      <c r="F290" s="4">
        <v>265</v>
      </c>
      <c r="G290" s="5">
        <v>100.01000000000002</v>
      </c>
      <c r="H290" s="4">
        <v>2</v>
      </c>
    </row>
    <row r="291" spans="1:8" x14ac:dyDescent="0.15">
      <c r="A291" s="2" t="s">
        <v>51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15">
      <c r="A292" s="2" t="s">
        <v>52</v>
      </c>
      <c r="B292" s="4">
        <v>118</v>
      </c>
      <c r="C292" s="5">
        <v>14.64</v>
      </c>
      <c r="D292" s="4">
        <v>55</v>
      </c>
      <c r="E292" s="5">
        <v>10.199999999999999</v>
      </c>
      <c r="F292" s="4">
        <v>63</v>
      </c>
      <c r="G292" s="5">
        <v>23.77</v>
      </c>
      <c r="H292" s="4">
        <v>0</v>
      </c>
    </row>
    <row r="293" spans="1:8" x14ac:dyDescent="0.15">
      <c r="A293" s="2" t="s">
        <v>53</v>
      </c>
      <c r="B293" s="4">
        <v>67</v>
      </c>
      <c r="C293" s="5">
        <v>8.31</v>
      </c>
      <c r="D293" s="4">
        <v>25</v>
      </c>
      <c r="E293" s="5">
        <v>4.6399999999999997</v>
      </c>
      <c r="F293" s="4">
        <v>42</v>
      </c>
      <c r="G293" s="5">
        <v>15.85</v>
      </c>
      <c r="H293" s="4">
        <v>0</v>
      </c>
    </row>
    <row r="294" spans="1:8" x14ac:dyDescent="0.15">
      <c r="A294" s="2" t="s">
        <v>54</v>
      </c>
      <c r="B294" s="4">
        <v>0</v>
      </c>
      <c r="C294" s="5">
        <v>0</v>
      </c>
      <c r="D294" s="4">
        <v>0</v>
      </c>
      <c r="E294" s="5">
        <v>0</v>
      </c>
      <c r="F294" s="4">
        <v>0</v>
      </c>
      <c r="G294" s="5">
        <v>0</v>
      </c>
      <c r="H294" s="4">
        <v>0</v>
      </c>
    </row>
    <row r="295" spans="1:8" x14ac:dyDescent="0.15">
      <c r="A295" s="2" t="s">
        <v>55</v>
      </c>
      <c r="B295" s="4">
        <v>5</v>
      </c>
      <c r="C295" s="5">
        <v>0.62</v>
      </c>
      <c r="D295" s="4">
        <v>1</v>
      </c>
      <c r="E295" s="5">
        <v>0.19</v>
      </c>
      <c r="F295" s="4">
        <v>4</v>
      </c>
      <c r="G295" s="5">
        <v>1.51</v>
      </c>
      <c r="H295" s="4">
        <v>0</v>
      </c>
    </row>
    <row r="296" spans="1:8" x14ac:dyDescent="0.15">
      <c r="A296" s="2" t="s">
        <v>56</v>
      </c>
      <c r="B296" s="4">
        <v>15</v>
      </c>
      <c r="C296" s="5">
        <v>1.86</v>
      </c>
      <c r="D296" s="4">
        <v>2</v>
      </c>
      <c r="E296" s="5">
        <v>0.37</v>
      </c>
      <c r="F296" s="4">
        <v>12</v>
      </c>
      <c r="G296" s="5">
        <v>4.53</v>
      </c>
      <c r="H296" s="4">
        <v>1</v>
      </c>
    </row>
    <row r="297" spans="1:8" x14ac:dyDescent="0.15">
      <c r="A297" s="2" t="s">
        <v>57</v>
      </c>
      <c r="B297" s="4">
        <v>181</v>
      </c>
      <c r="C297" s="5">
        <v>22.46</v>
      </c>
      <c r="D297" s="4">
        <v>113</v>
      </c>
      <c r="E297" s="5">
        <v>20.96</v>
      </c>
      <c r="F297" s="4">
        <v>68</v>
      </c>
      <c r="G297" s="5">
        <v>25.66</v>
      </c>
      <c r="H297" s="4">
        <v>0</v>
      </c>
    </row>
    <row r="298" spans="1:8" x14ac:dyDescent="0.15">
      <c r="A298" s="2" t="s">
        <v>58</v>
      </c>
      <c r="B298" s="4">
        <v>6</v>
      </c>
      <c r="C298" s="5">
        <v>0.74</v>
      </c>
      <c r="D298" s="4">
        <v>2</v>
      </c>
      <c r="E298" s="5">
        <v>0.37</v>
      </c>
      <c r="F298" s="4">
        <v>4</v>
      </c>
      <c r="G298" s="5">
        <v>1.51</v>
      </c>
      <c r="H298" s="4">
        <v>0</v>
      </c>
    </row>
    <row r="299" spans="1:8" x14ac:dyDescent="0.15">
      <c r="A299" s="2" t="s">
        <v>59</v>
      </c>
      <c r="B299" s="4">
        <v>90</v>
      </c>
      <c r="C299" s="5">
        <v>11.17</v>
      </c>
      <c r="D299" s="4">
        <v>72</v>
      </c>
      <c r="E299" s="5">
        <v>13.36</v>
      </c>
      <c r="F299" s="4">
        <v>18</v>
      </c>
      <c r="G299" s="5">
        <v>6.79</v>
      </c>
      <c r="H299" s="4">
        <v>0</v>
      </c>
    </row>
    <row r="300" spans="1:8" x14ac:dyDescent="0.15">
      <c r="A300" s="2" t="s">
        <v>60</v>
      </c>
      <c r="B300" s="4">
        <v>34</v>
      </c>
      <c r="C300" s="5">
        <v>4.22</v>
      </c>
      <c r="D300" s="4">
        <v>25</v>
      </c>
      <c r="E300" s="5">
        <v>4.6399999999999997</v>
      </c>
      <c r="F300" s="4">
        <v>9</v>
      </c>
      <c r="G300" s="5">
        <v>3.4</v>
      </c>
      <c r="H300" s="4">
        <v>0</v>
      </c>
    </row>
    <row r="301" spans="1:8" x14ac:dyDescent="0.15">
      <c r="A301" s="2" t="s">
        <v>61</v>
      </c>
      <c r="B301" s="4">
        <v>95</v>
      </c>
      <c r="C301" s="5">
        <v>11.79</v>
      </c>
      <c r="D301" s="4">
        <v>84</v>
      </c>
      <c r="E301" s="5">
        <v>15.58</v>
      </c>
      <c r="F301" s="4">
        <v>11</v>
      </c>
      <c r="G301" s="5">
        <v>4.1500000000000004</v>
      </c>
      <c r="H301" s="4">
        <v>0</v>
      </c>
    </row>
    <row r="302" spans="1:8" x14ac:dyDescent="0.15">
      <c r="A302" s="2" t="s">
        <v>62</v>
      </c>
      <c r="B302" s="4">
        <v>103</v>
      </c>
      <c r="C302" s="5">
        <v>12.78</v>
      </c>
      <c r="D302" s="4">
        <v>90</v>
      </c>
      <c r="E302" s="5">
        <v>16.7</v>
      </c>
      <c r="F302" s="4">
        <v>12</v>
      </c>
      <c r="G302" s="5">
        <v>4.53</v>
      </c>
      <c r="H302" s="4">
        <v>1</v>
      </c>
    </row>
    <row r="303" spans="1:8" x14ac:dyDescent="0.15">
      <c r="A303" s="2" t="s">
        <v>63</v>
      </c>
      <c r="B303" s="4">
        <v>38</v>
      </c>
      <c r="C303" s="5">
        <v>4.71</v>
      </c>
      <c r="D303" s="4">
        <v>33</v>
      </c>
      <c r="E303" s="5">
        <v>6.12</v>
      </c>
      <c r="F303" s="4">
        <v>5</v>
      </c>
      <c r="G303" s="5">
        <v>1.89</v>
      </c>
      <c r="H303" s="4">
        <v>0</v>
      </c>
    </row>
    <row r="304" spans="1:8" x14ac:dyDescent="0.15">
      <c r="A304" s="2" t="s">
        <v>64</v>
      </c>
      <c r="B304" s="4">
        <v>30</v>
      </c>
      <c r="C304" s="5">
        <v>3.72</v>
      </c>
      <c r="D304" s="4">
        <v>21</v>
      </c>
      <c r="E304" s="5">
        <v>3.9</v>
      </c>
      <c r="F304" s="4">
        <v>9</v>
      </c>
      <c r="G304" s="5">
        <v>3.4</v>
      </c>
      <c r="H304" s="4">
        <v>0</v>
      </c>
    </row>
    <row r="305" spans="1:8" x14ac:dyDescent="0.15">
      <c r="A305" s="2" t="s">
        <v>65</v>
      </c>
      <c r="B305" s="4">
        <v>24</v>
      </c>
      <c r="C305" s="5">
        <v>2.98</v>
      </c>
      <c r="D305" s="4">
        <v>16</v>
      </c>
      <c r="E305" s="5">
        <v>2.97</v>
      </c>
      <c r="F305" s="4">
        <v>8</v>
      </c>
      <c r="G305" s="5">
        <v>3.02</v>
      </c>
      <c r="H305" s="4">
        <v>0</v>
      </c>
    </row>
    <row r="306" spans="1:8" x14ac:dyDescent="0.15">
      <c r="A306" s="1" t="s">
        <v>19</v>
      </c>
      <c r="B306" s="4">
        <v>3269</v>
      </c>
      <c r="C306" s="5">
        <v>99.990000000000009</v>
      </c>
      <c r="D306" s="4">
        <v>2412</v>
      </c>
      <c r="E306" s="5">
        <v>100</v>
      </c>
      <c r="F306" s="4">
        <v>840</v>
      </c>
      <c r="G306" s="5">
        <v>100.01</v>
      </c>
      <c r="H306" s="4">
        <v>17</v>
      </c>
    </row>
    <row r="307" spans="1:8" x14ac:dyDescent="0.15">
      <c r="A307" s="2" t="s">
        <v>51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15">
      <c r="A308" s="2" t="s">
        <v>52</v>
      </c>
      <c r="B308" s="4">
        <v>446</v>
      </c>
      <c r="C308" s="5">
        <v>13.64</v>
      </c>
      <c r="D308" s="4">
        <v>287</v>
      </c>
      <c r="E308" s="5">
        <v>11.9</v>
      </c>
      <c r="F308" s="4">
        <v>159</v>
      </c>
      <c r="G308" s="5">
        <v>18.93</v>
      </c>
      <c r="H308" s="4">
        <v>0</v>
      </c>
    </row>
    <row r="309" spans="1:8" x14ac:dyDescent="0.15">
      <c r="A309" s="2" t="s">
        <v>53</v>
      </c>
      <c r="B309" s="4">
        <v>398</v>
      </c>
      <c r="C309" s="5">
        <v>12.17</v>
      </c>
      <c r="D309" s="4">
        <v>295</v>
      </c>
      <c r="E309" s="5">
        <v>12.23</v>
      </c>
      <c r="F309" s="4">
        <v>102</v>
      </c>
      <c r="G309" s="5">
        <v>12.14</v>
      </c>
      <c r="H309" s="4">
        <v>1</v>
      </c>
    </row>
    <row r="310" spans="1:8" x14ac:dyDescent="0.15">
      <c r="A310" s="2" t="s">
        <v>54</v>
      </c>
      <c r="B310" s="4">
        <v>2</v>
      </c>
      <c r="C310" s="5">
        <v>0.06</v>
      </c>
      <c r="D310" s="4">
        <v>0</v>
      </c>
      <c r="E310" s="5">
        <v>0</v>
      </c>
      <c r="F310" s="4">
        <v>2</v>
      </c>
      <c r="G310" s="5">
        <v>0.24</v>
      </c>
      <c r="H310" s="4">
        <v>0</v>
      </c>
    </row>
    <row r="311" spans="1:8" x14ac:dyDescent="0.15">
      <c r="A311" s="2" t="s">
        <v>55</v>
      </c>
      <c r="B311" s="4">
        <v>20</v>
      </c>
      <c r="C311" s="5">
        <v>0.61</v>
      </c>
      <c r="D311" s="4">
        <v>5</v>
      </c>
      <c r="E311" s="5">
        <v>0.21</v>
      </c>
      <c r="F311" s="4">
        <v>15</v>
      </c>
      <c r="G311" s="5">
        <v>1.79</v>
      </c>
      <c r="H311" s="4">
        <v>0</v>
      </c>
    </row>
    <row r="312" spans="1:8" x14ac:dyDescent="0.15">
      <c r="A312" s="2" t="s">
        <v>56</v>
      </c>
      <c r="B312" s="4">
        <v>26</v>
      </c>
      <c r="C312" s="5">
        <v>0.8</v>
      </c>
      <c r="D312" s="4">
        <v>15</v>
      </c>
      <c r="E312" s="5">
        <v>0.62</v>
      </c>
      <c r="F312" s="4">
        <v>8</v>
      </c>
      <c r="G312" s="5">
        <v>0.95</v>
      </c>
      <c r="H312" s="4">
        <v>3</v>
      </c>
    </row>
    <row r="313" spans="1:8" x14ac:dyDescent="0.15">
      <c r="A313" s="2" t="s">
        <v>57</v>
      </c>
      <c r="B313" s="4">
        <v>834</v>
      </c>
      <c r="C313" s="5">
        <v>25.51</v>
      </c>
      <c r="D313" s="4">
        <v>548</v>
      </c>
      <c r="E313" s="5">
        <v>22.72</v>
      </c>
      <c r="F313" s="4">
        <v>285</v>
      </c>
      <c r="G313" s="5">
        <v>33.93</v>
      </c>
      <c r="H313" s="4">
        <v>1</v>
      </c>
    </row>
    <row r="314" spans="1:8" x14ac:dyDescent="0.15">
      <c r="A314" s="2" t="s">
        <v>58</v>
      </c>
      <c r="B314" s="4">
        <v>23</v>
      </c>
      <c r="C314" s="5">
        <v>0.7</v>
      </c>
      <c r="D314" s="4">
        <v>10</v>
      </c>
      <c r="E314" s="5">
        <v>0.41</v>
      </c>
      <c r="F314" s="4">
        <v>13</v>
      </c>
      <c r="G314" s="5">
        <v>1.55</v>
      </c>
      <c r="H314" s="4">
        <v>0</v>
      </c>
    </row>
    <row r="315" spans="1:8" x14ac:dyDescent="0.15">
      <c r="A315" s="2" t="s">
        <v>59</v>
      </c>
      <c r="B315" s="4">
        <v>168</v>
      </c>
      <c r="C315" s="5">
        <v>5.14</v>
      </c>
      <c r="D315" s="4">
        <v>106</v>
      </c>
      <c r="E315" s="5">
        <v>4.3899999999999997</v>
      </c>
      <c r="F315" s="4">
        <v>62</v>
      </c>
      <c r="G315" s="5">
        <v>7.38</v>
      </c>
      <c r="H315" s="4">
        <v>0</v>
      </c>
    </row>
    <row r="316" spans="1:8" x14ac:dyDescent="0.15">
      <c r="A316" s="2" t="s">
        <v>60</v>
      </c>
      <c r="B316" s="4">
        <v>121</v>
      </c>
      <c r="C316" s="5">
        <v>3.7</v>
      </c>
      <c r="D316" s="4">
        <v>88</v>
      </c>
      <c r="E316" s="5">
        <v>3.65</v>
      </c>
      <c r="F316" s="4">
        <v>33</v>
      </c>
      <c r="G316" s="5">
        <v>3.93</v>
      </c>
      <c r="H316" s="4">
        <v>0</v>
      </c>
    </row>
    <row r="317" spans="1:8" x14ac:dyDescent="0.15">
      <c r="A317" s="2" t="s">
        <v>61</v>
      </c>
      <c r="B317" s="4">
        <v>643</v>
      </c>
      <c r="C317" s="5">
        <v>19.670000000000002</v>
      </c>
      <c r="D317" s="4">
        <v>593</v>
      </c>
      <c r="E317" s="5">
        <v>24.59</v>
      </c>
      <c r="F317" s="4">
        <v>48</v>
      </c>
      <c r="G317" s="5">
        <v>5.71</v>
      </c>
      <c r="H317" s="4">
        <v>2</v>
      </c>
    </row>
    <row r="318" spans="1:8" x14ac:dyDescent="0.15">
      <c r="A318" s="2" t="s">
        <v>62</v>
      </c>
      <c r="B318" s="4">
        <v>307</v>
      </c>
      <c r="C318" s="5">
        <v>9.39</v>
      </c>
      <c r="D318" s="4">
        <v>271</v>
      </c>
      <c r="E318" s="5">
        <v>11.24</v>
      </c>
      <c r="F318" s="4">
        <v>35</v>
      </c>
      <c r="G318" s="5">
        <v>4.17</v>
      </c>
      <c r="H318" s="4">
        <v>1</v>
      </c>
    </row>
    <row r="319" spans="1:8" x14ac:dyDescent="0.15">
      <c r="A319" s="2" t="s">
        <v>63</v>
      </c>
      <c r="B319" s="4">
        <v>105</v>
      </c>
      <c r="C319" s="5">
        <v>3.21</v>
      </c>
      <c r="D319" s="4">
        <v>90</v>
      </c>
      <c r="E319" s="5">
        <v>3.73</v>
      </c>
      <c r="F319" s="4">
        <v>12</v>
      </c>
      <c r="G319" s="5">
        <v>1.43</v>
      </c>
      <c r="H319" s="4">
        <v>3</v>
      </c>
    </row>
    <row r="320" spans="1:8" x14ac:dyDescent="0.15">
      <c r="A320" s="2" t="s">
        <v>64</v>
      </c>
      <c r="B320" s="4">
        <v>96</v>
      </c>
      <c r="C320" s="5">
        <v>2.94</v>
      </c>
      <c r="D320" s="4">
        <v>70</v>
      </c>
      <c r="E320" s="5">
        <v>2.9</v>
      </c>
      <c r="F320" s="4">
        <v>26</v>
      </c>
      <c r="G320" s="5">
        <v>3.1</v>
      </c>
      <c r="H320" s="4">
        <v>0</v>
      </c>
    </row>
    <row r="321" spans="1:8" x14ac:dyDescent="0.15">
      <c r="A321" s="2" t="s">
        <v>65</v>
      </c>
      <c r="B321" s="4">
        <v>80</v>
      </c>
      <c r="C321" s="5">
        <v>2.4500000000000002</v>
      </c>
      <c r="D321" s="4">
        <v>34</v>
      </c>
      <c r="E321" s="5">
        <v>1.41</v>
      </c>
      <c r="F321" s="4">
        <v>40</v>
      </c>
      <c r="G321" s="5">
        <v>4.76</v>
      </c>
      <c r="H321" s="4">
        <v>6</v>
      </c>
    </row>
    <row r="322" spans="1:8" x14ac:dyDescent="0.15">
      <c r="A322" s="1" t="s">
        <v>20</v>
      </c>
      <c r="B322" s="4">
        <v>4778</v>
      </c>
      <c r="C322" s="5">
        <v>100</v>
      </c>
      <c r="D322" s="4">
        <v>2920</v>
      </c>
      <c r="E322" s="5">
        <v>99.98</v>
      </c>
      <c r="F322" s="4">
        <v>1846</v>
      </c>
      <c r="G322" s="5">
        <v>100.02</v>
      </c>
      <c r="H322" s="4">
        <v>12</v>
      </c>
    </row>
    <row r="323" spans="1:8" x14ac:dyDescent="0.15">
      <c r="A323" s="2" t="s">
        <v>51</v>
      </c>
      <c r="B323" s="4">
        <v>0</v>
      </c>
      <c r="C323" s="5">
        <v>0</v>
      </c>
      <c r="D323" s="4">
        <v>0</v>
      </c>
      <c r="E323" s="5">
        <v>0</v>
      </c>
      <c r="F323" s="4">
        <v>0</v>
      </c>
      <c r="G323" s="5">
        <v>0</v>
      </c>
      <c r="H323" s="4">
        <v>0</v>
      </c>
    </row>
    <row r="324" spans="1:8" x14ac:dyDescent="0.15">
      <c r="A324" s="2" t="s">
        <v>52</v>
      </c>
      <c r="B324" s="4">
        <v>620</v>
      </c>
      <c r="C324" s="5">
        <v>12.98</v>
      </c>
      <c r="D324" s="4">
        <v>215</v>
      </c>
      <c r="E324" s="5">
        <v>7.36</v>
      </c>
      <c r="F324" s="4">
        <v>405</v>
      </c>
      <c r="G324" s="5">
        <v>21.94</v>
      </c>
      <c r="H324" s="4">
        <v>0</v>
      </c>
    </row>
    <row r="325" spans="1:8" x14ac:dyDescent="0.15">
      <c r="A325" s="2" t="s">
        <v>53</v>
      </c>
      <c r="B325" s="4">
        <v>384</v>
      </c>
      <c r="C325" s="5">
        <v>8.0399999999999991</v>
      </c>
      <c r="D325" s="4">
        <v>175</v>
      </c>
      <c r="E325" s="5">
        <v>5.99</v>
      </c>
      <c r="F325" s="4">
        <v>209</v>
      </c>
      <c r="G325" s="5">
        <v>11.32</v>
      </c>
      <c r="H325" s="4">
        <v>0</v>
      </c>
    </row>
    <row r="326" spans="1:8" x14ac:dyDescent="0.15">
      <c r="A326" s="2" t="s">
        <v>54</v>
      </c>
      <c r="B326" s="4">
        <v>1</v>
      </c>
      <c r="C326" s="5">
        <v>0.02</v>
      </c>
      <c r="D326" s="4">
        <v>0</v>
      </c>
      <c r="E326" s="5">
        <v>0</v>
      </c>
      <c r="F326" s="4">
        <v>1</v>
      </c>
      <c r="G326" s="5">
        <v>0.05</v>
      </c>
      <c r="H326" s="4">
        <v>0</v>
      </c>
    </row>
    <row r="327" spans="1:8" x14ac:dyDescent="0.15">
      <c r="A327" s="2" t="s">
        <v>55</v>
      </c>
      <c r="B327" s="4">
        <v>29</v>
      </c>
      <c r="C327" s="5">
        <v>0.61</v>
      </c>
      <c r="D327" s="4">
        <v>3</v>
      </c>
      <c r="E327" s="5">
        <v>0.1</v>
      </c>
      <c r="F327" s="4">
        <v>26</v>
      </c>
      <c r="G327" s="5">
        <v>1.41</v>
      </c>
      <c r="H327" s="4">
        <v>0</v>
      </c>
    </row>
    <row r="328" spans="1:8" x14ac:dyDescent="0.15">
      <c r="A328" s="2" t="s">
        <v>56</v>
      </c>
      <c r="B328" s="4">
        <v>44</v>
      </c>
      <c r="C328" s="5">
        <v>0.92</v>
      </c>
      <c r="D328" s="4">
        <v>10</v>
      </c>
      <c r="E328" s="5">
        <v>0.34</v>
      </c>
      <c r="F328" s="4">
        <v>34</v>
      </c>
      <c r="G328" s="5">
        <v>1.84</v>
      </c>
      <c r="H328" s="4">
        <v>0</v>
      </c>
    </row>
    <row r="329" spans="1:8" x14ac:dyDescent="0.15">
      <c r="A329" s="2" t="s">
        <v>57</v>
      </c>
      <c r="B329" s="4">
        <v>1075</v>
      </c>
      <c r="C329" s="5">
        <v>22.5</v>
      </c>
      <c r="D329" s="4">
        <v>548</v>
      </c>
      <c r="E329" s="5">
        <v>18.77</v>
      </c>
      <c r="F329" s="4">
        <v>525</v>
      </c>
      <c r="G329" s="5">
        <v>28.44</v>
      </c>
      <c r="H329" s="4">
        <v>2</v>
      </c>
    </row>
    <row r="330" spans="1:8" x14ac:dyDescent="0.15">
      <c r="A330" s="2" t="s">
        <v>58</v>
      </c>
      <c r="B330" s="4">
        <v>37</v>
      </c>
      <c r="C330" s="5">
        <v>0.77</v>
      </c>
      <c r="D330" s="4">
        <v>14</v>
      </c>
      <c r="E330" s="5">
        <v>0.48</v>
      </c>
      <c r="F330" s="4">
        <v>23</v>
      </c>
      <c r="G330" s="5">
        <v>1.25</v>
      </c>
      <c r="H330" s="4">
        <v>0</v>
      </c>
    </row>
    <row r="331" spans="1:8" x14ac:dyDescent="0.15">
      <c r="A331" s="2" t="s">
        <v>59</v>
      </c>
      <c r="B331" s="4">
        <v>500</v>
      </c>
      <c r="C331" s="5">
        <v>10.46</v>
      </c>
      <c r="D331" s="4">
        <v>283</v>
      </c>
      <c r="E331" s="5">
        <v>9.69</v>
      </c>
      <c r="F331" s="4">
        <v>217</v>
      </c>
      <c r="G331" s="5">
        <v>11.76</v>
      </c>
      <c r="H331" s="4">
        <v>0</v>
      </c>
    </row>
    <row r="332" spans="1:8" x14ac:dyDescent="0.15">
      <c r="A332" s="2" t="s">
        <v>60</v>
      </c>
      <c r="B332" s="4">
        <v>200</v>
      </c>
      <c r="C332" s="5">
        <v>4.1900000000000004</v>
      </c>
      <c r="D332" s="4">
        <v>131</v>
      </c>
      <c r="E332" s="5">
        <v>4.49</v>
      </c>
      <c r="F332" s="4">
        <v>69</v>
      </c>
      <c r="G332" s="5">
        <v>3.74</v>
      </c>
      <c r="H332" s="4">
        <v>0</v>
      </c>
    </row>
    <row r="333" spans="1:8" x14ac:dyDescent="0.15">
      <c r="A333" s="2" t="s">
        <v>61</v>
      </c>
      <c r="B333" s="4">
        <v>662</v>
      </c>
      <c r="C333" s="5">
        <v>13.86</v>
      </c>
      <c r="D333" s="4">
        <v>604</v>
      </c>
      <c r="E333" s="5">
        <v>20.68</v>
      </c>
      <c r="F333" s="4">
        <v>57</v>
      </c>
      <c r="G333" s="5">
        <v>3.09</v>
      </c>
      <c r="H333" s="4">
        <v>1</v>
      </c>
    </row>
    <row r="334" spans="1:8" x14ac:dyDescent="0.15">
      <c r="A334" s="2" t="s">
        <v>62</v>
      </c>
      <c r="B334" s="4">
        <v>667</v>
      </c>
      <c r="C334" s="5">
        <v>13.96</v>
      </c>
      <c r="D334" s="4">
        <v>541</v>
      </c>
      <c r="E334" s="5">
        <v>18.53</v>
      </c>
      <c r="F334" s="4">
        <v>125</v>
      </c>
      <c r="G334" s="5">
        <v>6.77</v>
      </c>
      <c r="H334" s="4">
        <v>1</v>
      </c>
    </row>
    <row r="335" spans="1:8" x14ac:dyDescent="0.15">
      <c r="A335" s="2" t="s">
        <v>63</v>
      </c>
      <c r="B335" s="4">
        <v>248</v>
      </c>
      <c r="C335" s="5">
        <v>5.19</v>
      </c>
      <c r="D335" s="4">
        <v>206</v>
      </c>
      <c r="E335" s="5">
        <v>7.05</v>
      </c>
      <c r="F335" s="4">
        <v>42</v>
      </c>
      <c r="G335" s="5">
        <v>2.2799999999999998</v>
      </c>
      <c r="H335" s="4">
        <v>0</v>
      </c>
    </row>
    <row r="336" spans="1:8" x14ac:dyDescent="0.15">
      <c r="A336" s="2" t="s">
        <v>64</v>
      </c>
      <c r="B336" s="4">
        <v>177</v>
      </c>
      <c r="C336" s="5">
        <v>3.7</v>
      </c>
      <c r="D336" s="4">
        <v>135</v>
      </c>
      <c r="E336" s="5">
        <v>4.62</v>
      </c>
      <c r="F336" s="4">
        <v>42</v>
      </c>
      <c r="G336" s="5">
        <v>2.2799999999999998</v>
      </c>
      <c r="H336" s="4">
        <v>0</v>
      </c>
    </row>
    <row r="337" spans="1:8" x14ac:dyDescent="0.15">
      <c r="A337" s="2" t="s">
        <v>65</v>
      </c>
      <c r="B337" s="4">
        <v>134</v>
      </c>
      <c r="C337" s="5">
        <v>2.8</v>
      </c>
      <c r="D337" s="4">
        <v>55</v>
      </c>
      <c r="E337" s="5">
        <v>1.88</v>
      </c>
      <c r="F337" s="4">
        <v>71</v>
      </c>
      <c r="G337" s="5">
        <v>3.85</v>
      </c>
      <c r="H337" s="4">
        <v>8</v>
      </c>
    </row>
    <row r="338" spans="1:8" x14ac:dyDescent="0.15">
      <c r="A338" s="1" t="s">
        <v>21</v>
      </c>
      <c r="B338" s="4">
        <v>1036</v>
      </c>
      <c r="C338" s="5">
        <v>100.01</v>
      </c>
      <c r="D338" s="4">
        <v>650</v>
      </c>
      <c r="E338" s="5">
        <v>100.01</v>
      </c>
      <c r="F338" s="4">
        <v>384</v>
      </c>
      <c r="G338" s="5">
        <v>99.990000000000009</v>
      </c>
      <c r="H338" s="4">
        <v>2</v>
      </c>
    </row>
    <row r="339" spans="1:8" x14ac:dyDescent="0.15">
      <c r="A339" s="2" t="s">
        <v>51</v>
      </c>
      <c r="B339" s="4">
        <v>1</v>
      </c>
      <c r="C339" s="5">
        <v>0.1</v>
      </c>
      <c r="D339" s="4">
        <v>0</v>
      </c>
      <c r="E339" s="5">
        <v>0</v>
      </c>
      <c r="F339" s="4">
        <v>1</v>
      </c>
      <c r="G339" s="5">
        <v>0.26</v>
      </c>
      <c r="H339" s="4">
        <v>0</v>
      </c>
    </row>
    <row r="340" spans="1:8" x14ac:dyDescent="0.15">
      <c r="A340" s="2" t="s">
        <v>52</v>
      </c>
      <c r="B340" s="4">
        <v>146</v>
      </c>
      <c r="C340" s="5">
        <v>14.09</v>
      </c>
      <c r="D340" s="4">
        <v>56</v>
      </c>
      <c r="E340" s="5">
        <v>8.6199999999999992</v>
      </c>
      <c r="F340" s="4">
        <v>90</v>
      </c>
      <c r="G340" s="5">
        <v>23.44</v>
      </c>
      <c r="H340" s="4">
        <v>0</v>
      </c>
    </row>
    <row r="341" spans="1:8" x14ac:dyDescent="0.15">
      <c r="A341" s="2" t="s">
        <v>53</v>
      </c>
      <c r="B341" s="4">
        <v>70</v>
      </c>
      <c r="C341" s="5">
        <v>6.76</v>
      </c>
      <c r="D341" s="4">
        <v>24</v>
      </c>
      <c r="E341" s="5">
        <v>3.69</v>
      </c>
      <c r="F341" s="4">
        <v>46</v>
      </c>
      <c r="G341" s="5">
        <v>11.98</v>
      </c>
      <c r="H341" s="4">
        <v>0</v>
      </c>
    </row>
    <row r="342" spans="1:8" x14ac:dyDescent="0.15">
      <c r="A342" s="2" t="s">
        <v>54</v>
      </c>
      <c r="B342" s="4">
        <v>1</v>
      </c>
      <c r="C342" s="5">
        <v>0.1</v>
      </c>
      <c r="D342" s="4">
        <v>0</v>
      </c>
      <c r="E342" s="5">
        <v>0</v>
      </c>
      <c r="F342" s="4">
        <v>1</v>
      </c>
      <c r="G342" s="5">
        <v>0.26</v>
      </c>
      <c r="H342" s="4">
        <v>0</v>
      </c>
    </row>
    <row r="343" spans="1:8" x14ac:dyDescent="0.15">
      <c r="A343" s="2" t="s">
        <v>55</v>
      </c>
      <c r="B343" s="4">
        <v>2</v>
      </c>
      <c r="C343" s="5">
        <v>0.19</v>
      </c>
      <c r="D343" s="4">
        <v>0</v>
      </c>
      <c r="E343" s="5">
        <v>0</v>
      </c>
      <c r="F343" s="4">
        <v>2</v>
      </c>
      <c r="G343" s="5">
        <v>0.52</v>
      </c>
      <c r="H343" s="4">
        <v>0</v>
      </c>
    </row>
    <row r="344" spans="1:8" x14ac:dyDescent="0.15">
      <c r="A344" s="2" t="s">
        <v>56</v>
      </c>
      <c r="B344" s="4">
        <v>10</v>
      </c>
      <c r="C344" s="5">
        <v>0.97</v>
      </c>
      <c r="D344" s="4">
        <v>4</v>
      </c>
      <c r="E344" s="5">
        <v>0.62</v>
      </c>
      <c r="F344" s="4">
        <v>6</v>
      </c>
      <c r="G344" s="5">
        <v>1.56</v>
      </c>
      <c r="H344" s="4">
        <v>0</v>
      </c>
    </row>
    <row r="345" spans="1:8" x14ac:dyDescent="0.15">
      <c r="A345" s="2" t="s">
        <v>57</v>
      </c>
      <c r="B345" s="4">
        <v>292</v>
      </c>
      <c r="C345" s="5">
        <v>28.19</v>
      </c>
      <c r="D345" s="4">
        <v>172</v>
      </c>
      <c r="E345" s="5">
        <v>26.46</v>
      </c>
      <c r="F345" s="4">
        <v>120</v>
      </c>
      <c r="G345" s="5">
        <v>31.25</v>
      </c>
      <c r="H345" s="4">
        <v>0</v>
      </c>
    </row>
    <row r="346" spans="1:8" x14ac:dyDescent="0.15">
      <c r="A346" s="2" t="s">
        <v>58</v>
      </c>
      <c r="B346" s="4">
        <v>11</v>
      </c>
      <c r="C346" s="5">
        <v>1.06</v>
      </c>
      <c r="D346" s="4">
        <v>0</v>
      </c>
      <c r="E346" s="5">
        <v>0</v>
      </c>
      <c r="F346" s="4">
        <v>11</v>
      </c>
      <c r="G346" s="5">
        <v>2.86</v>
      </c>
      <c r="H346" s="4">
        <v>0</v>
      </c>
    </row>
    <row r="347" spans="1:8" x14ac:dyDescent="0.15">
      <c r="A347" s="2" t="s">
        <v>59</v>
      </c>
      <c r="B347" s="4">
        <v>78</v>
      </c>
      <c r="C347" s="5">
        <v>7.53</v>
      </c>
      <c r="D347" s="4">
        <v>47</v>
      </c>
      <c r="E347" s="5">
        <v>7.23</v>
      </c>
      <c r="F347" s="4">
        <v>31</v>
      </c>
      <c r="G347" s="5">
        <v>8.07</v>
      </c>
      <c r="H347" s="4">
        <v>0</v>
      </c>
    </row>
    <row r="348" spans="1:8" x14ac:dyDescent="0.15">
      <c r="A348" s="2" t="s">
        <v>60</v>
      </c>
      <c r="B348" s="4">
        <v>34</v>
      </c>
      <c r="C348" s="5">
        <v>3.28</v>
      </c>
      <c r="D348" s="4">
        <v>24</v>
      </c>
      <c r="E348" s="5">
        <v>3.69</v>
      </c>
      <c r="F348" s="4">
        <v>10</v>
      </c>
      <c r="G348" s="5">
        <v>2.6</v>
      </c>
      <c r="H348" s="4">
        <v>0</v>
      </c>
    </row>
    <row r="349" spans="1:8" x14ac:dyDescent="0.15">
      <c r="A349" s="2" t="s">
        <v>61</v>
      </c>
      <c r="B349" s="4">
        <v>138</v>
      </c>
      <c r="C349" s="5">
        <v>13.32</v>
      </c>
      <c r="D349" s="4">
        <v>121</v>
      </c>
      <c r="E349" s="5">
        <v>18.62</v>
      </c>
      <c r="F349" s="4">
        <v>15</v>
      </c>
      <c r="G349" s="5">
        <v>3.91</v>
      </c>
      <c r="H349" s="4">
        <v>2</v>
      </c>
    </row>
    <row r="350" spans="1:8" x14ac:dyDescent="0.15">
      <c r="A350" s="2" t="s">
        <v>62</v>
      </c>
      <c r="B350" s="4">
        <v>144</v>
      </c>
      <c r="C350" s="5">
        <v>13.9</v>
      </c>
      <c r="D350" s="4">
        <v>127</v>
      </c>
      <c r="E350" s="5">
        <v>19.54</v>
      </c>
      <c r="F350" s="4">
        <v>17</v>
      </c>
      <c r="G350" s="5">
        <v>4.43</v>
      </c>
      <c r="H350" s="4">
        <v>0</v>
      </c>
    </row>
    <row r="351" spans="1:8" x14ac:dyDescent="0.15">
      <c r="A351" s="2" t="s">
        <v>63</v>
      </c>
      <c r="B351" s="4">
        <v>42</v>
      </c>
      <c r="C351" s="5">
        <v>4.05</v>
      </c>
      <c r="D351" s="4">
        <v>32</v>
      </c>
      <c r="E351" s="5">
        <v>4.92</v>
      </c>
      <c r="F351" s="4">
        <v>10</v>
      </c>
      <c r="G351" s="5">
        <v>2.6</v>
      </c>
      <c r="H351" s="4">
        <v>0</v>
      </c>
    </row>
    <row r="352" spans="1:8" x14ac:dyDescent="0.15">
      <c r="A352" s="2" t="s">
        <v>64</v>
      </c>
      <c r="B352" s="4">
        <v>38</v>
      </c>
      <c r="C352" s="5">
        <v>3.67</v>
      </c>
      <c r="D352" s="4">
        <v>28</v>
      </c>
      <c r="E352" s="5">
        <v>4.3099999999999996</v>
      </c>
      <c r="F352" s="4">
        <v>10</v>
      </c>
      <c r="G352" s="5">
        <v>2.6</v>
      </c>
      <c r="H352" s="4">
        <v>0</v>
      </c>
    </row>
    <row r="353" spans="1:8" x14ac:dyDescent="0.15">
      <c r="A353" s="2" t="s">
        <v>65</v>
      </c>
      <c r="B353" s="4">
        <v>29</v>
      </c>
      <c r="C353" s="5">
        <v>2.8</v>
      </c>
      <c r="D353" s="4">
        <v>15</v>
      </c>
      <c r="E353" s="5">
        <v>2.31</v>
      </c>
      <c r="F353" s="4">
        <v>14</v>
      </c>
      <c r="G353" s="5">
        <v>3.65</v>
      </c>
      <c r="H353" s="4">
        <v>0</v>
      </c>
    </row>
    <row r="354" spans="1:8" x14ac:dyDescent="0.15">
      <c r="A354" s="1" t="s">
        <v>22</v>
      </c>
      <c r="B354" s="4">
        <v>1500</v>
      </c>
      <c r="C354" s="5">
        <v>99.99</v>
      </c>
      <c r="D354" s="4">
        <v>976</v>
      </c>
      <c r="E354" s="5">
        <v>100.01</v>
      </c>
      <c r="F354" s="4">
        <v>518</v>
      </c>
      <c r="G354" s="5">
        <v>99.990000000000009</v>
      </c>
      <c r="H354" s="4">
        <v>6</v>
      </c>
    </row>
    <row r="355" spans="1:8" x14ac:dyDescent="0.15">
      <c r="A355" s="2" t="s">
        <v>51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15">
      <c r="A356" s="2" t="s">
        <v>52</v>
      </c>
      <c r="B356" s="4">
        <v>188</v>
      </c>
      <c r="C356" s="5">
        <v>12.53</v>
      </c>
      <c r="D356" s="4">
        <v>106</v>
      </c>
      <c r="E356" s="5">
        <v>10.86</v>
      </c>
      <c r="F356" s="4">
        <v>82</v>
      </c>
      <c r="G356" s="5">
        <v>15.83</v>
      </c>
      <c r="H356" s="4">
        <v>0</v>
      </c>
    </row>
    <row r="357" spans="1:8" x14ac:dyDescent="0.15">
      <c r="A357" s="2" t="s">
        <v>53</v>
      </c>
      <c r="B357" s="4">
        <v>350</v>
      </c>
      <c r="C357" s="5">
        <v>23.33</v>
      </c>
      <c r="D357" s="4">
        <v>211</v>
      </c>
      <c r="E357" s="5">
        <v>21.62</v>
      </c>
      <c r="F357" s="4">
        <v>139</v>
      </c>
      <c r="G357" s="5">
        <v>26.83</v>
      </c>
      <c r="H357" s="4">
        <v>0</v>
      </c>
    </row>
    <row r="358" spans="1:8" x14ac:dyDescent="0.15">
      <c r="A358" s="2" t="s">
        <v>54</v>
      </c>
      <c r="B358" s="4">
        <v>0</v>
      </c>
      <c r="C358" s="5">
        <v>0</v>
      </c>
      <c r="D358" s="4">
        <v>0</v>
      </c>
      <c r="E358" s="5">
        <v>0</v>
      </c>
      <c r="F358" s="4">
        <v>0</v>
      </c>
      <c r="G358" s="5">
        <v>0</v>
      </c>
      <c r="H358" s="4">
        <v>0</v>
      </c>
    </row>
    <row r="359" spans="1:8" x14ac:dyDescent="0.15">
      <c r="A359" s="2" t="s">
        <v>55</v>
      </c>
      <c r="B359" s="4">
        <v>6</v>
      </c>
      <c r="C359" s="5">
        <v>0.4</v>
      </c>
      <c r="D359" s="4">
        <v>2</v>
      </c>
      <c r="E359" s="5">
        <v>0.2</v>
      </c>
      <c r="F359" s="4">
        <v>4</v>
      </c>
      <c r="G359" s="5">
        <v>0.77</v>
      </c>
      <c r="H359" s="4">
        <v>0</v>
      </c>
    </row>
    <row r="360" spans="1:8" x14ac:dyDescent="0.15">
      <c r="A360" s="2" t="s">
        <v>56</v>
      </c>
      <c r="B360" s="4">
        <v>12</v>
      </c>
      <c r="C360" s="5">
        <v>0.8</v>
      </c>
      <c r="D360" s="4">
        <v>3</v>
      </c>
      <c r="E360" s="5">
        <v>0.31</v>
      </c>
      <c r="F360" s="4">
        <v>9</v>
      </c>
      <c r="G360" s="5">
        <v>1.74</v>
      </c>
      <c r="H360" s="4">
        <v>0</v>
      </c>
    </row>
    <row r="361" spans="1:8" x14ac:dyDescent="0.15">
      <c r="A361" s="2" t="s">
        <v>57</v>
      </c>
      <c r="B361" s="4">
        <v>379</v>
      </c>
      <c r="C361" s="5">
        <v>25.27</v>
      </c>
      <c r="D361" s="4">
        <v>230</v>
      </c>
      <c r="E361" s="5">
        <v>23.57</v>
      </c>
      <c r="F361" s="4">
        <v>148</v>
      </c>
      <c r="G361" s="5">
        <v>28.57</v>
      </c>
      <c r="H361" s="4">
        <v>1</v>
      </c>
    </row>
    <row r="362" spans="1:8" x14ac:dyDescent="0.15">
      <c r="A362" s="2" t="s">
        <v>58</v>
      </c>
      <c r="B362" s="4">
        <v>14</v>
      </c>
      <c r="C362" s="5">
        <v>0.93</v>
      </c>
      <c r="D362" s="4">
        <v>7</v>
      </c>
      <c r="E362" s="5">
        <v>0.72</v>
      </c>
      <c r="F362" s="4">
        <v>7</v>
      </c>
      <c r="G362" s="5">
        <v>1.35</v>
      </c>
      <c r="H362" s="4">
        <v>0</v>
      </c>
    </row>
    <row r="363" spans="1:8" x14ac:dyDescent="0.15">
      <c r="A363" s="2" t="s">
        <v>59</v>
      </c>
      <c r="B363" s="4">
        <v>55</v>
      </c>
      <c r="C363" s="5">
        <v>3.67</v>
      </c>
      <c r="D363" s="4">
        <v>23</v>
      </c>
      <c r="E363" s="5">
        <v>2.36</v>
      </c>
      <c r="F363" s="4">
        <v>32</v>
      </c>
      <c r="G363" s="5">
        <v>6.18</v>
      </c>
      <c r="H363" s="4">
        <v>0</v>
      </c>
    </row>
    <row r="364" spans="1:8" x14ac:dyDescent="0.15">
      <c r="A364" s="2" t="s">
        <v>60</v>
      </c>
      <c r="B364" s="4">
        <v>53</v>
      </c>
      <c r="C364" s="5">
        <v>3.53</v>
      </c>
      <c r="D364" s="4">
        <v>40</v>
      </c>
      <c r="E364" s="5">
        <v>4.0999999999999996</v>
      </c>
      <c r="F364" s="4">
        <v>13</v>
      </c>
      <c r="G364" s="5">
        <v>2.5099999999999998</v>
      </c>
      <c r="H364" s="4">
        <v>0</v>
      </c>
    </row>
    <row r="365" spans="1:8" x14ac:dyDescent="0.15">
      <c r="A365" s="2" t="s">
        <v>61</v>
      </c>
      <c r="B365" s="4">
        <v>158</v>
      </c>
      <c r="C365" s="5">
        <v>10.53</v>
      </c>
      <c r="D365" s="4">
        <v>145</v>
      </c>
      <c r="E365" s="5">
        <v>14.86</v>
      </c>
      <c r="F365" s="4">
        <v>12</v>
      </c>
      <c r="G365" s="5">
        <v>2.3199999999999998</v>
      </c>
      <c r="H365" s="4">
        <v>1</v>
      </c>
    </row>
    <row r="366" spans="1:8" x14ac:dyDescent="0.15">
      <c r="A366" s="2" t="s">
        <v>62</v>
      </c>
      <c r="B366" s="4">
        <v>162</v>
      </c>
      <c r="C366" s="5">
        <v>10.8</v>
      </c>
      <c r="D366" s="4">
        <v>131</v>
      </c>
      <c r="E366" s="5">
        <v>13.42</v>
      </c>
      <c r="F366" s="4">
        <v>31</v>
      </c>
      <c r="G366" s="5">
        <v>5.98</v>
      </c>
      <c r="H366" s="4">
        <v>0</v>
      </c>
    </row>
    <row r="367" spans="1:8" x14ac:dyDescent="0.15">
      <c r="A367" s="2" t="s">
        <v>63</v>
      </c>
      <c r="B367" s="4">
        <v>42</v>
      </c>
      <c r="C367" s="5">
        <v>2.8</v>
      </c>
      <c r="D367" s="4">
        <v>34</v>
      </c>
      <c r="E367" s="5">
        <v>3.48</v>
      </c>
      <c r="F367" s="4">
        <v>8</v>
      </c>
      <c r="G367" s="5">
        <v>1.54</v>
      </c>
      <c r="H367" s="4">
        <v>0</v>
      </c>
    </row>
    <row r="368" spans="1:8" x14ac:dyDescent="0.15">
      <c r="A368" s="2" t="s">
        <v>64</v>
      </c>
      <c r="B368" s="4">
        <v>33</v>
      </c>
      <c r="C368" s="5">
        <v>2.2000000000000002</v>
      </c>
      <c r="D368" s="4">
        <v>24</v>
      </c>
      <c r="E368" s="5">
        <v>2.46</v>
      </c>
      <c r="F368" s="4">
        <v>7</v>
      </c>
      <c r="G368" s="5">
        <v>1.35</v>
      </c>
      <c r="H368" s="4">
        <v>2</v>
      </c>
    </row>
    <row r="369" spans="1:8" x14ac:dyDescent="0.15">
      <c r="A369" s="2" t="s">
        <v>65</v>
      </c>
      <c r="B369" s="4">
        <v>48</v>
      </c>
      <c r="C369" s="5">
        <v>3.2</v>
      </c>
      <c r="D369" s="4">
        <v>20</v>
      </c>
      <c r="E369" s="5">
        <v>2.0499999999999998</v>
      </c>
      <c r="F369" s="4">
        <v>26</v>
      </c>
      <c r="G369" s="5">
        <v>5.0199999999999996</v>
      </c>
      <c r="H369" s="4">
        <v>2</v>
      </c>
    </row>
    <row r="370" spans="1:8" x14ac:dyDescent="0.15">
      <c r="A370" s="1" t="s">
        <v>23</v>
      </c>
      <c r="B370" s="4">
        <v>3030</v>
      </c>
      <c r="C370" s="5">
        <v>100.00000000000001</v>
      </c>
      <c r="D370" s="4">
        <v>1583</v>
      </c>
      <c r="E370" s="5">
        <v>99.990000000000009</v>
      </c>
      <c r="F370" s="4">
        <v>1440</v>
      </c>
      <c r="G370" s="5">
        <v>100</v>
      </c>
      <c r="H370" s="4">
        <v>7</v>
      </c>
    </row>
    <row r="371" spans="1:8" x14ac:dyDescent="0.15">
      <c r="A371" s="2" t="s">
        <v>51</v>
      </c>
      <c r="B371" s="4">
        <v>0</v>
      </c>
      <c r="C371" s="5">
        <v>0</v>
      </c>
      <c r="D371" s="4">
        <v>0</v>
      </c>
      <c r="E371" s="5">
        <v>0</v>
      </c>
      <c r="F371" s="4">
        <v>0</v>
      </c>
      <c r="G371" s="5">
        <v>0</v>
      </c>
      <c r="H371" s="4">
        <v>0</v>
      </c>
    </row>
    <row r="372" spans="1:8" x14ac:dyDescent="0.15">
      <c r="A372" s="2" t="s">
        <v>52</v>
      </c>
      <c r="B372" s="4">
        <v>361</v>
      </c>
      <c r="C372" s="5">
        <v>11.91</v>
      </c>
      <c r="D372" s="4">
        <v>88</v>
      </c>
      <c r="E372" s="5">
        <v>5.56</v>
      </c>
      <c r="F372" s="4">
        <v>273</v>
      </c>
      <c r="G372" s="5">
        <v>18.96</v>
      </c>
      <c r="H372" s="4">
        <v>0</v>
      </c>
    </row>
    <row r="373" spans="1:8" x14ac:dyDescent="0.15">
      <c r="A373" s="2" t="s">
        <v>53</v>
      </c>
      <c r="B373" s="4">
        <v>93</v>
      </c>
      <c r="C373" s="5">
        <v>3.07</v>
      </c>
      <c r="D373" s="4">
        <v>35</v>
      </c>
      <c r="E373" s="5">
        <v>2.21</v>
      </c>
      <c r="F373" s="4">
        <v>58</v>
      </c>
      <c r="G373" s="5">
        <v>4.03</v>
      </c>
      <c r="H373" s="4">
        <v>0</v>
      </c>
    </row>
    <row r="374" spans="1:8" x14ac:dyDescent="0.15">
      <c r="A374" s="2" t="s">
        <v>54</v>
      </c>
      <c r="B374" s="4">
        <v>1</v>
      </c>
      <c r="C374" s="5">
        <v>0.03</v>
      </c>
      <c r="D374" s="4">
        <v>1</v>
      </c>
      <c r="E374" s="5">
        <v>0.06</v>
      </c>
      <c r="F374" s="4">
        <v>0</v>
      </c>
      <c r="G374" s="5">
        <v>0</v>
      </c>
      <c r="H374" s="4">
        <v>0</v>
      </c>
    </row>
    <row r="375" spans="1:8" x14ac:dyDescent="0.15">
      <c r="A375" s="2" t="s">
        <v>55</v>
      </c>
      <c r="B375" s="4">
        <v>29</v>
      </c>
      <c r="C375" s="5">
        <v>0.96</v>
      </c>
      <c r="D375" s="4">
        <v>3</v>
      </c>
      <c r="E375" s="5">
        <v>0.19</v>
      </c>
      <c r="F375" s="4">
        <v>25</v>
      </c>
      <c r="G375" s="5">
        <v>1.74</v>
      </c>
      <c r="H375" s="4">
        <v>1</v>
      </c>
    </row>
    <row r="376" spans="1:8" x14ac:dyDescent="0.15">
      <c r="A376" s="2" t="s">
        <v>56</v>
      </c>
      <c r="B376" s="4">
        <v>13</v>
      </c>
      <c r="C376" s="5">
        <v>0.43</v>
      </c>
      <c r="D376" s="4">
        <v>1</v>
      </c>
      <c r="E376" s="5">
        <v>0.06</v>
      </c>
      <c r="F376" s="4">
        <v>11</v>
      </c>
      <c r="G376" s="5">
        <v>0.76</v>
      </c>
      <c r="H376" s="4">
        <v>1</v>
      </c>
    </row>
    <row r="377" spans="1:8" x14ac:dyDescent="0.15">
      <c r="A377" s="2" t="s">
        <v>57</v>
      </c>
      <c r="B377" s="4">
        <v>765</v>
      </c>
      <c r="C377" s="5">
        <v>25.25</v>
      </c>
      <c r="D377" s="4">
        <v>395</v>
      </c>
      <c r="E377" s="5">
        <v>24.95</v>
      </c>
      <c r="F377" s="4">
        <v>370</v>
      </c>
      <c r="G377" s="5">
        <v>25.69</v>
      </c>
      <c r="H377" s="4">
        <v>0</v>
      </c>
    </row>
    <row r="378" spans="1:8" x14ac:dyDescent="0.15">
      <c r="A378" s="2" t="s">
        <v>58</v>
      </c>
      <c r="B378" s="4">
        <v>19</v>
      </c>
      <c r="C378" s="5">
        <v>0.63</v>
      </c>
      <c r="D378" s="4">
        <v>1</v>
      </c>
      <c r="E378" s="5">
        <v>0.06</v>
      </c>
      <c r="F378" s="4">
        <v>18</v>
      </c>
      <c r="G378" s="5">
        <v>1.25</v>
      </c>
      <c r="H378" s="4">
        <v>0</v>
      </c>
    </row>
    <row r="379" spans="1:8" x14ac:dyDescent="0.15">
      <c r="A379" s="2" t="s">
        <v>59</v>
      </c>
      <c r="B379" s="4">
        <v>404</v>
      </c>
      <c r="C379" s="5">
        <v>13.33</v>
      </c>
      <c r="D379" s="4">
        <v>109</v>
      </c>
      <c r="E379" s="5">
        <v>6.89</v>
      </c>
      <c r="F379" s="4">
        <v>294</v>
      </c>
      <c r="G379" s="5">
        <v>20.420000000000002</v>
      </c>
      <c r="H379" s="4">
        <v>1</v>
      </c>
    </row>
    <row r="380" spans="1:8" x14ac:dyDescent="0.15">
      <c r="A380" s="2" t="s">
        <v>60</v>
      </c>
      <c r="B380" s="4">
        <v>157</v>
      </c>
      <c r="C380" s="5">
        <v>5.18</v>
      </c>
      <c r="D380" s="4">
        <v>88</v>
      </c>
      <c r="E380" s="5">
        <v>5.56</v>
      </c>
      <c r="F380" s="4">
        <v>69</v>
      </c>
      <c r="G380" s="5">
        <v>4.79</v>
      </c>
      <c r="H380" s="4">
        <v>0</v>
      </c>
    </row>
    <row r="381" spans="1:8" x14ac:dyDescent="0.15">
      <c r="A381" s="2" t="s">
        <v>61</v>
      </c>
      <c r="B381" s="4">
        <v>377</v>
      </c>
      <c r="C381" s="5">
        <v>12.44</v>
      </c>
      <c r="D381" s="4">
        <v>319</v>
      </c>
      <c r="E381" s="5">
        <v>20.149999999999999</v>
      </c>
      <c r="F381" s="4">
        <v>58</v>
      </c>
      <c r="G381" s="5">
        <v>4.03</v>
      </c>
      <c r="H381" s="4">
        <v>0</v>
      </c>
    </row>
    <row r="382" spans="1:8" x14ac:dyDescent="0.15">
      <c r="A382" s="2" t="s">
        <v>62</v>
      </c>
      <c r="B382" s="4">
        <v>365</v>
      </c>
      <c r="C382" s="5">
        <v>12.05</v>
      </c>
      <c r="D382" s="4">
        <v>272</v>
      </c>
      <c r="E382" s="5">
        <v>17.18</v>
      </c>
      <c r="F382" s="4">
        <v>93</v>
      </c>
      <c r="G382" s="5">
        <v>6.46</v>
      </c>
      <c r="H382" s="4">
        <v>0</v>
      </c>
    </row>
    <row r="383" spans="1:8" x14ac:dyDescent="0.15">
      <c r="A383" s="2" t="s">
        <v>63</v>
      </c>
      <c r="B383" s="4">
        <v>165</v>
      </c>
      <c r="C383" s="5">
        <v>5.45</v>
      </c>
      <c r="D383" s="4">
        <v>115</v>
      </c>
      <c r="E383" s="5">
        <v>7.26</v>
      </c>
      <c r="F383" s="4">
        <v>50</v>
      </c>
      <c r="G383" s="5">
        <v>3.47</v>
      </c>
      <c r="H383" s="4">
        <v>0</v>
      </c>
    </row>
    <row r="384" spans="1:8" x14ac:dyDescent="0.15">
      <c r="A384" s="2" t="s">
        <v>64</v>
      </c>
      <c r="B384" s="4">
        <v>194</v>
      </c>
      <c r="C384" s="5">
        <v>6.4</v>
      </c>
      <c r="D384" s="4">
        <v>128</v>
      </c>
      <c r="E384" s="5">
        <v>8.09</v>
      </c>
      <c r="F384" s="4">
        <v>66</v>
      </c>
      <c r="G384" s="5">
        <v>4.58</v>
      </c>
      <c r="H384" s="4">
        <v>0</v>
      </c>
    </row>
    <row r="385" spans="1:8" x14ac:dyDescent="0.15">
      <c r="A385" s="2" t="s">
        <v>65</v>
      </c>
      <c r="B385" s="4">
        <v>87</v>
      </c>
      <c r="C385" s="5">
        <v>2.87</v>
      </c>
      <c r="D385" s="4">
        <v>28</v>
      </c>
      <c r="E385" s="5">
        <v>1.77</v>
      </c>
      <c r="F385" s="4">
        <v>55</v>
      </c>
      <c r="G385" s="5">
        <v>3.82</v>
      </c>
      <c r="H385" s="4">
        <v>4</v>
      </c>
    </row>
    <row r="386" spans="1:8" x14ac:dyDescent="0.15">
      <c r="A386" s="1" t="s">
        <v>24</v>
      </c>
      <c r="B386" s="4">
        <v>1905</v>
      </c>
      <c r="C386" s="5">
        <v>99.999999999999986</v>
      </c>
      <c r="D386" s="4">
        <v>1214</v>
      </c>
      <c r="E386" s="5">
        <v>100</v>
      </c>
      <c r="F386" s="4">
        <v>688</v>
      </c>
      <c r="G386" s="5">
        <v>99.999999999999986</v>
      </c>
      <c r="H386" s="4">
        <v>3</v>
      </c>
    </row>
    <row r="387" spans="1:8" x14ac:dyDescent="0.15">
      <c r="A387" s="2" t="s">
        <v>51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15">
      <c r="A388" s="2" t="s">
        <v>52</v>
      </c>
      <c r="B388" s="4">
        <v>257</v>
      </c>
      <c r="C388" s="5">
        <v>13.49</v>
      </c>
      <c r="D388" s="4">
        <v>131</v>
      </c>
      <c r="E388" s="5">
        <v>10.79</v>
      </c>
      <c r="F388" s="4">
        <v>126</v>
      </c>
      <c r="G388" s="5">
        <v>18.309999999999999</v>
      </c>
      <c r="H388" s="4">
        <v>0</v>
      </c>
    </row>
    <row r="389" spans="1:8" x14ac:dyDescent="0.15">
      <c r="A389" s="2" t="s">
        <v>53</v>
      </c>
      <c r="B389" s="4">
        <v>363</v>
      </c>
      <c r="C389" s="5">
        <v>19.059999999999999</v>
      </c>
      <c r="D389" s="4">
        <v>193</v>
      </c>
      <c r="E389" s="5">
        <v>15.9</v>
      </c>
      <c r="F389" s="4">
        <v>170</v>
      </c>
      <c r="G389" s="5">
        <v>24.71</v>
      </c>
      <c r="H389" s="4">
        <v>0</v>
      </c>
    </row>
    <row r="390" spans="1:8" x14ac:dyDescent="0.15">
      <c r="A390" s="2" t="s">
        <v>54</v>
      </c>
      <c r="B390" s="4">
        <v>1</v>
      </c>
      <c r="C390" s="5">
        <v>0.05</v>
      </c>
      <c r="D390" s="4">
        <v>0</v>
      </c>
      <c r="E390" s="5">
        <v>0</v>
      </c>
      <c r="F390" s="4">
        <v>1</v>
      </c>
      <c r="G390" s="5">
        <v>0.15</v>
      </c>
      <c r="H390" s="4">
        <v>0</v>
      </c>
    </row>
    <row r="391" spans="1:8" x14ac:dyDescent="0.15">
      <c r="A391" s="2" t="s">
        <v>55</v>
      </c>
      <c r="B391" s="4">
        <v>5</v>
      </c>
      <c r="C391" s="5">
        <v>0.26</v>
      </c>
      <c r="D391" s="4">
        <v>0</v>
      </c>
      <c r="E391" s="5">
        <v>0</v>
      </c>
      <c r="F391" s="4">
        <v>5</v>
      </c>
      <c r="G391" s="5">
        <v>0.73</v>
      </c>
      <c r="H391" s="4">
        <v>0</v>
      </c>
    </row>
    <row r="392" spans="1:8" x14ac:dyDescent="0.15">
      <c r="A392" s="2" t="s">
        <v>56</v>
      </c>
      <c r="B392" s="4">
        <v>19</v>
      </c>
      <c r="C392" s="5">
        <v>1</v>
      </c>
      <c r="D392" s="4">
        <v>3</v>
      </c>
      <c r="E392" s="5">
        <v>0.25</v>
      </c>
      <c r="F392" s="4">
        <v>16</v>
      </c>
      <c r="G392" s="5">
        <v>2.33</v>
      </c>
      <c r="H392" s="4">
        <v>0</v>
      </c>
    </row>
    <row r="393" spans="1:8" x14ac:dyDescent="0.15">
      <c r="A393" s="2" t="s">
        <v>57</v>
      </c>
      <c r="B393" s="4">
        <v>504</v>
      </c>
      <c r="C393" s="5">
        <v>26.46</v>
      </c>
      <c r="D393" s="4">
        <v>300</v>
      </c>
      <c r="E393" s="5">
        <v>24.71</v>
      </c>
      <c r="F393" s="4">
        <v>201</v>
      </c>
      <c r="G393" s="5">
        <v>29.22</v>
      </c>
      <c r="H393" s="4">
        <v>3</v>
      </c>
    </row>
    <row r="394" spans="1:8" x14ac:dyDescent="0.15">
      <c r="A394" s="2" t="s">
        <v>58</v>
      </c>
      <c r="B394" s="4">
        <v>9</v>
      </c>
      <c r="C394" s="5">
        <v>0.47</v>
      </c>
      <c r="D394" s="4">
        <v>1</v>
      </c>
      <c r="E394" s="5">
        <v>0.08</v>
      </c>
      <c r="F394" s="4">
        <v>8</v>
      </c>
      <c r="G394" s="5">
        <v>1.1599999999999999</v>
      </c>
      <c r="H394" s="4">
        <v>0</v>
      </c>
    </row>
    <row r="395" spans="1:8" x14ac:dyDescent="0.15">
      <c r="A395" s="2" t="s">
        <v>59</v>
      </c>
      <c r="B395" s="4">
        <v>62</v>
      </c>
      <c r="C395" s="5">
        <v>3.25</v>
      </c>
      <c r="D395" s="4">
        <v>25</v>
      </c>
      <c r="E395" s="5">
        <v>2.06</v>
      </c>
      <c r="F395" s="4">
        <v>37</v>
      </c>
      <c r="G395" s="5">
        <v>5.38</v>
      </c>
      <c r="H395" s="4">
        <v>0</v>
      </c>
    </row>
    <row r="396" spans="1:8" x14ac:dyDescent="0.15">
      <c r="A396" s="2" t="s">
        <v>60</v>
      </c>
      <c r="B396" s="4">
        <v>47</v>
      </c>
      <c r="C396" s="5">
        <v>2.4700000000000002</v>
      </c>
      <c r="D396" s="4">
        <v>35</v>
      </c>
      <c r="E396" s="5">
        <v>2.88</v>
      </c>
      <c r="F396" s="4">
        <v>12</v>
      </c>
      <c r="G396" s="5">
        <v>1.74</v>
      </c>
      <c r="H396" s="4">
        <v>0</v>
      </c>
    </row>
    <row r="397" spans="1:8" x14ac:dyDescent="0.15">
      <c r="A397" s="2" t="s">
        <v>61</v>
      </c>
      <c r="B397" s="4">
        <v>234</v>
      </c>
      <c r="C397" s="5">
        <v>12.28</v>
      </c>
      <c r="D397" s="4">
        <v>206</v>
      </c>
      <c r="E397" s="5">
        <v>16.97</v>
      </c>
      <c r="F397" s="4">
        <v>28</v>
      </c>
      <c r="G397" s="5">
        <v>4.07</v>
      </c>
      <c r="H397" s="4">
        <v>0</v>
      </c>
    </row>
    <row r="398" spans="1:8" x14ac:dyDescent="0.15">
      <c r="A398" s="2" t="s">
        <v>62</v>
      </c>
      <c r="B398" s="4">
        <v>208</v>
      </c>
      <c r="C398" s="5">
        <v>10.92</v>
      </c>
      <c r="D398" s="4">
        <v>173</v>
      </c>
      <c r="E398" s="5">
        <v>14.25</v>
      </c>
      <c r="F398" s="4">
        <v>35</v>
      </c>
      <c r="G398" s="5">
        <v>5.09</v>
      </c>
      <c r="H398" s="4">
        <v>0</v>
      </c>
    </row>
    <row r="399" spans="1:8" x14ac:dyDescent="0.15">
      <c r="A399" s="2" t="s">
        <v>63</v>
      </c>
      <c r="B399" s="4">
        <v>73</v>
      </c>
      <c r="C399" s="5">
        <v>3.83</v>
      </c>
      <c r="D399" s="4">
        <v>59</v>
      </c>
      <c r="E399" s="5">
        <v>4.8600000000000003</v>
      </c>
      <c r="F399" s="4">
        <v>14</v>
      </c>
      <c r="G399" s="5">
        <v>2.0299999999999998</v>
      </c>
      <c r="H399" s="4">
        <v>0</v>
      </c>
    </row>
    <row r="400" spans="1:8" x14ac:dyDescent="0.15">
      <c r="A400" s="2" t="s">
        <v>64</v>
      </c>
      <c r="B400" s="4">
        <v>67</v>
      </c>
      <c r="C400" s="5">
        <v>3.52</v>
      </c>
      <c r="D400" s="4">
        <v>53</v>
      </c>
      <c r="E400" s="5">
        <v>4.37</v>
      </c>
      <c r="F400" s="4">
        <v>14</v>
      </c>
      <c r="G400" s="5">
        <v>2.0299999999999998</v>
      </c>
      <c r="H400" s="4">
        <v>0</v>
      </c>
    </row>
    <row r="401" spans="1:8" x14ac:dyDescent="0.15">
      <c r="A401" s="2" t="s">
        <v>65</v>
      </c>
      <c r="B401" s="4">
        <v>56</v>
      </c>
      <c r="C401" s="5">
        <v>2.94</v>
      </c>
      <c r="D401" s="4">
        <v>35</v>
      </c>
      <c r="E401" s="5">
        <v>2.88</v>
      </c>
      <c r="F401" s="4">
        <v>21</v>
      </c>
      <c r="G401" s="5">
        <v>3.05</v>
      </c>
      <c r="H401" s="4">
        <v>0</v>
      </c>
    </row>
    <row r="402" spans="1:8" x14ac:dyDescent="0.15">
      <c r="A402" s="1" t="s">
        <v>25</v>
      </c>
      <c r="B402" s="4">
        <v>1859</v>
      </c>
      <c r="C402" s="5">
        <v>99.99</v>
      </c>
      <c r="D402" s="4">
        <v>1202</v>
      </c>
      <c r="E402" s="5">
        <v>99.99</v>
      </c>
      <c r="F402" s="4">
        <v>657</v>
      </c>
      <c r="G402" s="5">
        <v>100</v>
      </c>
      <c r="H402" s="4">
        <v>0</v>
      </c>
    </row>
    <row r="403" spans="1:8" x14ac:dyDescent="0.15">
      <c r="A403" s="2" t="s">
        <v>51</v>
      </c>
      <c r="B403" s="4">
        <v>1</v>
      </c>
      <c r="C403" s="5">
        <v>0.05</v>
      </c>
      <c r="D403" s="4">
        <v>1</v>
      </c>
      <c r="E403" s="5">
        <v>0.08</v>
      </c>
      <c r="F403" s="4">
        <v>0</v>
      </c>
      <c r="G403" s="5">
        <v>0</v>
      </c>
      <c r="H403" s="4">
        <v>0</v>
      </c>
    </row>
    <row r="404" spans="1:8" x14ac:dyDescent="0.15">
      <c r="A404" s="2" t="s">
        <v>52</v>
      </c>
      <c r="B404" s="4">
        <v>291</v>
      </c>
      <c r="C404" s="5">
        <v>15.65</v>
      </c>
      <c r="D404" s="4">
        <v>104</v>
      </c>
      <c r="E404" s="5">
        <v>8.65</v>
      </c>
      <c r="F404" s="4">
        <v>187</v>
      </c>
      <c r="G404" s="5">
        <v>28.46</v>
      </c>
      <c r="H404" s="4">
        <v>0</v>
      </c>
    </row>
    <row r="405" spans="1:8" x14ac:dyDescent="0.15">
      <c r="A405" s="2" t="s">
        <v>53</v>
      </c>
      <c r="B405" s="4">
        <v>122</v>
      </c>
      <c r="C405" s="5">
        <v>6.56</v>
      </c>
      <c r="D405" s="4">
        <v>51</v>
      </c>
      <c r="E405" s="5">
        <v>4.24</v>
      </c>
      <c r="F405" s="4">
        <v>71</v>
      </c>
      <c r="G405" s="5">
        <v>10.81</v>
      </c>
      <c r="H405" s="4">
        <v>0</v>
      </c>
    </row>
    <row r="406" spans="1:8" x14ac:dyDescent="0.15">
      <c r="A406" s="2" t="s">
        <v>54</v>
      </c>
      <c r="B406" s="4">
        <v>0</v>
      </c>
      <c r="C406" s="5">
        <v>0</v>
      </c>
      <c r="D406" s="4">
        <v>0</v>
      </c>
      <c r="E406" s="5">
        <v>0</v>
      </c>
      <c r="F406" s="4">
        <v>0</v>
      </c>
      <c r="G406" s="5">
        <v>0</v>
      </c>
      <c r="H406" s="4">
        <v>0</v>
      </c>
    </row>
    <row r="407" spans="1:8" x14ac:dyDescent="0.15">
      <c r="A407" s="2" t="s">
        <v>55</v>
      </c>
      <c r="B407" s="4">
        <v>4</v>
      </c>
      <c r="C407" s="5">
        <v>0.22</v>
      </c>
      <c r="D407" s="4">
        <v>1</v>
      </c>
      <c r="E407" s="5">
        <v>0.08</v>
      </c>
      <c r="F407" s="4">
        <v>3</v>
      </c>
      <c r="G407" s="5">
        <v>0.46</v>
      </c>
      <c r="H407" s="4">
        <v>0</v>
      </c>
    </row>
    <row r="408" spans="1:8" x14ac:dyDescent="0.15">
      <c r="A408" s="2" t="s">
        <v>56</v>
      </c>
      <c r="B408" s="4">
        <v>19</v>
      </c>
      <c r="C408" s="5">
        <v>1.02</v>
      </c>
      <c r="D408" s="4">
        <v>4</v>
      </c>
      <c r="E408" s="5">
        <v>0.33</v>
      </c>
      <c r="F408" s="4">
        <v>15</v>
      </c>
      <c r="G408" s="5">
        <v>2.2799999999999998</v>
      </c>
      <c r="H408" s="4">
        <v>0</v>
      </c>
    </row>
    <row r="409" spans="1:8" x14ac:dyDescent="0.15">
      <c r="A409" s="2" t="s">
        <v>57</v>
      </c>
      <c r="B409" s="4">
        <v>430</v>
      </c>
      <c r="C409" s="5">
        <v>23.13</v>
      </c>
      <c r="D409" s="4">
        <v>269</v>
      </c>
      <c r="E409" s="5">
        <v>22.38</v>
      </c>
      <c r="F409" s="4">
        <v>161</v>
      </c>
      <c r="G409" s="5">
        <v>24.51</v>
      </c>
      <c r="H409" s="4">
        <v>0</v>
      </c>
    </row>
    <row r="410" spans="1:8" x14ac:dyDescent="0.15">
      <c r="A410" s="2" t="s">
        <v>58</v>
      </c>
      <c r="B410" s="4">
        <v>14</v>
      </c>
      <c r="C410" s="5">
        <v>0.75</v>
      </c>
      <c r="D410" s="4">
        <v>7</v>
      </c>
      <c r="E410" s="5">
        <v>0.57999999999999996</v>
      </c>
      <c r="F410" s="4">
        <v>7</v>
      </c>
      <c r="G410" s="5">
        <v>1.07</v>
      </c>
      <c r="H410" s="4">
        <v>0</v>
      </c>
    </row>
    <row r="411" spans="1:8" x14ac:dyDescent="0.15">
      <c r="A411" s="2" t="s">
        <v>59</v>
      </c>
      <c r="B411" s="4">
        <v>113</v>
      </c>
      <c r="C411" s="5">
        <v>6.08</v>
      </c>
      <c r="D411" s="4">
        <v>62</v>
      </c>
      <c r="E411" s="5">
        <v>5.16</v>
      </c>
      <c r="F411" s="4">
        <v>51</v>
      </c>
      <c r="G411" s="5">
        <v>7.76</v>
      </c>
      <c r="H411" s="4">
        <v>0</v>
      </c>
    </row>
    <row r="412" spans="1:8" x14ac:dyDescent="0.15">
      <c r="A412" s="2" t="s">
        <v>60</v>
      </c>
      <c r="B412" s="4">
        <v>80</v>
      </c>
      <c r="C412" s="5">
        <v>4.3</v>
      </c>
      <c r="D412" s="4">
        <v>53</v>
      </c>
      <c r="E412" s="5">
        <v>4.41</v>
      </c>
      <c r="F412" s="4">
        <v>27</v>
      </c>
      <c r="G412" s="5">
        <v>4.1100000000000003</v>
      </c>
      <c r="H412" s="4">
        <v>0</v>
      </c>
    </row>
    <row r="413" spans="1:8" x14ac:dyDescent="0.15">
      <c r="A413" s="2" t="s">
        <v>61</v>
      </c>
      <c r="B413" s="4">
        <v>324</v>
      </c>
      <c r="C413" s="5">
        <v>17.43</v>
      </c>
      <c r="D413" s="4">
        <v>291</v>
      </c>
      <c r="E413" s="5">
        <v>24.21</v>
      </c>
      <c r="F413" s="4">
        <v>33</v>
      </c>
      <c r="G413" s="5">
        <v>5.0199999999999996</v>
      </c>
      <c r="H413" s="4">
        <v>0</v>
      </c>
    </row>
    <row r="414" spans="1:8" x14ac:dyDescent="0.15">
      <c r="A414" s="2" t="s">
        <v>62</v>
      </c>
      <c r="B414" s="4">
        <v>249</v>
      </c>
      <c r="C414" s="5">
        <v>13.39</v>
      </c>
      <c r="D414" s="4">
        <v>212</v>
      </c>
      <c r="E414" s="5">
        <v>17.64</v>
      </c>
      <c r="F414" s="4">
        <v>37</v>
      </c>
      <c r="G414" s="5">
        <v>5.63</v>
      </c>
      <c r="H414" s="4">
        <v>0</v>
      </c>
    </row>
    <row r="415" spans="1:8" x14ac:dyDescent="0.15">
      <c r="A415" s="2" t="s">
        <v>63</v>
      </c>
      <c r="B415" s="4">
        <v>95</v>
      </c>
      <c r="C415" s="5">
        <v>5.1100000000000003</v>
      </c>
      <c r="D415" s="4">
        <v>77</v>
      </c>
      <c r="E415" s="5">
        <v>6.41</v>
      </c>
      <c r="F415" s="4">
        <v>18</v>
      </c>
      <c r="G415" s="5">
        <v>2.74</v>
      </c>
      <c r="H415" s="4">
        <v>0</v>
      </c>
    </row>
    <row r="416" spans="1:8" x14ac:dyDescent="0.15">
      <c r="A416" s="2" t="s">
        <v>64</v>
      </c>
      <c r="B416" s="4">
        <v>65</v>
      </c>
      <c r="C416" s="5">
        <v>3.5</v>
      </c>
      <c r="D416" s="4">
        <v>50</v>
      </c>
      <c r="E416" s="5">
        <v>4.16</v>
      </c>
      <c r="F416" s="4">
        <v>15</v>
      </c>
      <c r="G416" s="5">
        <v>2.2799999999999998</v>
      </c>
      <c r="H416" s="4">
        <v>0</v>
      </c>
    </row>
    <row r="417" spans="1:8" x14ac:dyDescent="0.15">
      <c r="A417" s="2" t="s">
        <v>65</v>
      </c>
      <c r="B417" s="4">
        <v>52</v>
      </c>
      <c r="C417" s="5">
        <v>2.8</v>
      </c>
      <c r="D417" s="4">
        <v>20</v>
      </c>
      <c r="E417" s="5">
        <v>1.66</v>
      </c>
      <c r="F417" s="4">
        <v>32</v>
      </c>
      <c r="G417" s="5">
        <v>4.87</v>
      </c>
      <c r="H417" s="4">
        <v>0</v>
      </c>
    </row>
    <row r="418" spans="1:8" x14ac:dyDescent="0.15">
      <c r="A418" s="1" t="s">
        <v>26</v>
      </c>
      <c r="B418" s="4">
        <v>2384</v>
      </c>
      <c r="C418" s="5">
        <v>100</v>
      </c>
      <c r="D418" s="4">
        <v>1351</v>
      </c>
      <c r="E418" s="5">
        <v>100</v>
      </c>
      <c r="F418" s="4">
        <v>1027</v>
      </c>
      <c r="G418" s="5">
        <v>99.989999999999981</v>
      </c>
      <c r="H418" s="4">
        <v>6</v>
      </c>
    </row>
    <row r="419" spans="1:8" x14ac:dyDescent="0.15">
      <c r="A419" s="2" t="s">
        <v>51</v>
      </c>
      <c r="B419" s="4">
        <v>0</v>
      </c>
      <c r="C419" s="5">
        <v>0</v>
      </c>
      <c r="D419" s="4">
        <v>0</v>
      </c>
      <c r="E419" s="5">
        <v>0</v>
      </c>
      <c r="F419" s="4">
        <v>0</v>
      </c>
      <c r="G419" s="5">
        <v>0</v>
      </c>
      <c r="H419" s="4">
        <v>0</v>
      </c>
    </row>
    <row r="420" spans="1:8" x14ac:dyDescent="0.15">
      <c r="A420" s="2" t="s">
        <v>52</v>
      </c>
      <c r="B420" s="4">
        <v>256</v>
      </c>
      <c r="C420" s="5">
        <v>10.74</v>
      </c>
      <c r="D420" s="4">
        <v>70</v>
      </c>
      <c r="E420" s="5">
        <v>5.18</v>
      </c>
      <c r="F420" s="4">
        <v>186</v>
      </c>
      <c r="G420" s="5">
        <v>18.11</v>
      </c>
      <c r="H420" s="4">
        <v>0</v>
      </c>
    </row>
    <row r="421" spans="1:8" x14ac:dyDescent="0.15">
      <c r="A421" s="2" t="s">
        <v>53</v>
      </c>
      <c r="B421" s="4">
        <v>157</v>
      </c>
      <c r="C421" s="5">
        <v>6.59</v>
      </c>
      <c r="D421" s="4">
        <v>52</v>
      </c>
      <c r="E421" s="5">
        <v>3.85</v>
      </c>
      <c r="F421" s="4">
        <v>105</v>
      </c>
      <c r="G421" s="5">
        <v>10.220000000000001</v>
      </c>
      <c r="H421" s="4">
        <v>0</v>
      </c>
    </row>
    <row r="422" spans="1:8" x14ac:dyDescent="0.15">
      <c r="A422" s="2" t="s">
        <v>54</v>
      </c>
      <c r="B422" s="4">
        <v>0</v>
      </c>
      <c r="C422" s="5">
        <v>0</v>
      </c>
      <c r="D422" s="4">
        <v>0</v>
      </c>
      <c r="E422" s="5">
        <v>0</v>
      </c>
      <c r="F422" s="4">
        <v>0</v>
      </c>
      <c r="G422" s="5">
        <v>0</v>
      </c>
      <c r="H422" s="4">
        <v>0</v>
      </c>
    </row>
    <row r="423" spans="1:8" x14ac:dyDescent="0.15">
      <c r="A423" s="2" t="s">
        <v>55</v>
      </c>
      <c r="B423" s="4">
        <v>17</v>
      </c>
      <c r="C423" s="5">
        <v>0.71</v>
      </c>
      <c r="D423" s="4">
        <v>4</v>
      </c>
      <c r="E423" s="5">
        <v>0.3</v>
      </c>
      <c r="F423" s="4">
        <v>13</v>
      </c>
      <c r="G423" s="5">
        <v>1.27</v>
      </c>
      <c r="H423" s="4">
        <v>0</v>
      </c>
    </row>
    <row r="424" spans="1:8" x14ac:dyDescent="0.15">
      <c r="A424" s="2" t="s">
        <v>56</v>
      </c>
      <c r="B424" s="4">
        <v>18</v>
      </c>
      <c r="C424" s="5">
        <v>0.76</v>
      </c>
      <c r="D424" s="4">
        <v>7</v>
      </c>
      <c r="E424" s="5">
        <v>0.52</v>
      </c>
      <c r="F424" s="4">
        <v>11</v>
      </c>
      <c r="G424" s="5">
        <v>1.07</v>
      </c>
      <c r="H424" s="4">
        <v>0</v>
      </c>
    </row>
    <row r="425" spans="1:8" x14ac:dyDescent="0.15">
      <c r="A425" s="2" t="s">
        <v>57</v>
      </c>
      <c r="B425" s="4">
        <v>602</v>
      </c>
      <c r="C425" s="5">
        <v>25.25</v>
      </c>
      <c r="D425" s="4">
        <v>326</v>
      </c>
      <c r="E425" s="5">
        <v>24.13</v>
      </c>
      <c r="F425" s="4">
        <v>274</v>
      </c>
      <c r="G425" s="5">
        <v>26.68</v>
      </c>
      <c r="H425" s="4">
        <v>2</v>
      </c>
    </row>
    <row r="426" spans="1:8" x14ac:dyDescent="0.15">
      <c r="A426" s="2" t="s">
        <v>58</v>
      </c>
      <c r="B426" s="4">
        <v>16</v>
      </c>
      <c r="C426" s="5">
        <v>0.67</v>
      </c>
      <c r="D426" s="4">
        <v>2</v>
      </c>
      <c r="E426" s="5">
        <v>0.15</v>
      </c>
      <c r="F426" s="4">
        <v>14</v>
      </c>
      <c r="G426" s="5">
        <v>1.36</v>
      </c>
      <c r="H426" s="4">
        <v>0</v>
      </c>
    </row>
    <row r="427" spans="1:8" x14ac:dyDescent="0.15">
      <c r="A427" s="2" t="s">
        <v>59</v>
      </c>
      <c r="B427" s="4">
        <v>282</v>
      </c>
      <c r="C427" s="5">
        <v>11.83</v>
      </c>
      <c r="D427" s="4">
        <v>109</v>
      </c>
      <c r="E427" s="5">
        <v>8.07</v>
      </c>
      <c r="F427" s="4">
        <v>172</v>
      </c>
      <c r="G427" s="5">
        <v>16.75</v>
      </c>
      <c r="H427" s="4">
        <v>1</v>
      </c>
    </row>
    <row r="428" spans="1:8" x14ac:dyDescent="0.15">
      <c r="A428" s="2" t="s">
        <v>60</v>
      </c>
      <c r="B428" s="4">
        <v>110</v>
      </c>
      <c r="C428" s="5">
        <v>4.6100000000000003</v>
      </c>
      <c r="D428" s="4">
        <v>73</v>
      </c>
      <c r="E428" s="5">
        <v>5.4</v>
      </c>
      <c r="F428" s="4">
        <v>37</v>
      </c>
      <c r="G428" s="5">
        <v>3.6</v>
      </c>
      <c r="H428" s="4">
        <v>0</v>
      </c>
    </row>
    <row r="429" spans="1:8" x14ac:dyDescent="0.15">
      <c r="A429" s="2" t="s">
        <v>61</v>
      </c>
      <c r="B429" s="4">
        <v>285</v>
      </c>
      <c r="C429" s="5">
        <v>11.95</v>
      </c>
      <c r="D429" s="4">
        <v>255</v>
      </c>
      <c r="E429" s="5">
        <v>18.87</v>
      </c>
      <c r="F429" s="4">
        <v>30</v>
      </c>
      <c r="G429" s="5">
        <v>2.92</v>
      </c>
      <c r="H429" s="4">
        <v>0</v>
      </c>
    </row>
    <row r="430" spans="1:8" x14ac:dyDescent="0.15">
      <c r="A430" s="2" t="s">
        <v>62</v>
      </c>
      <c r="B430" s="4">
        <v>327</v>
      </c>
      <c r="C430" s="5">
        <v>13.72</v>
      </c>
      <c r="D430" s="4">
        <v>250</v>
      </c>
      <c r="E430" s="5">
        <v>18.5</v>
      </c>
      <c r="F430" s="4">
        <v>77</v>
      </c>
      <c r="G430" s="5">
        <v>7.5</v>
      </c>
      <c r="H430" s="4">
        <v>0</v>
      </c>
    </row>
    <row r="431" spans="1:8" x14ac:dyDescent="0.15">
      <c r="A431" s="2" t="s">
        <v>63</v>
      </c>
      <c r="B431" s="4">
        <v>146</v>
      </c>
      <c r="C431" s="5">
        <v>6.12</v>
      </c>
      <c r="D431" s="4">
        <v>104</v>
      </c>
      <c r="E431" s="5">
        <v>7.7</v>
      </c>
      <c r="F431" s="4">
        <v>41</v>
      </c>
      <c r="G431" s="5">
        <v>3.99</v>
      </c>
      <c r="H431" s="4">
        <v>1</v>
      </c>
    </row>
    <row r="432" spans="1:8" x14ac:dyDescent="0.15">
      <c r="A432" s="2" t="s">
        <v>64</v>
      </c>
      <c r="B432" s="4">
        <v>98</v>
      </c>
      <c r="C432" s="5">
        <v>4.1100000000000003</v>
      </c>
      <c r="D432" s="4">
        <v>69</v>
      </c>
      <c r="E432" s="5">
        <v>5.1100000000000003</v>
      </c>
      <c r="F432" s="4">
        <v>29</v>
      </c>
      <c r="G432" s="5">
        <v>2.82</v>
      </c>
      <c r="H432" s="4">
        <v>0</v>
      </c>
    </row>
    <row r="433" spans="1:8" x14ac:dyDescent="0.15">
      <c r="A433" s="2" t="s">
        <v>65</v>
      </c>
      <c r="B433" s="4">
        <v>70</v>
      </c>
      <c r="C433" s="5">
        <v>2.94</v>
      </c>
      <c r="D433" s="4">
        <v>30</v>
      </c>
      <c r="E433" s="5">
        <v>2.2200000000000002</v>
      </c>
      <c r="F433" s="4">
        <v>38</v>
      </c>
      <c r="G433" s="5">
        <v>3.7</v>
      </c>
      <c r="H433" s="4">
        <v>2</v>
      </c>
    </row>
    <row r="434" spans="1:8" x14ac:dyDescent="0.15">
      <c r="A434" s="1" t="s">
        <v>27</v>
      </c>
      <c r="B434" s="4">
        <v>1249</v>
      </c>
      <c r="C434" s="5">
        <v>99.990000000000023</v>
      </c>
      <c r="D434" s="4">
        <v>830</v>
      </c>
      <c r="E434" s="5">
        <v>100.00999999999999</v>
      </c>
      <c r="F434" s="4">
        <v>415</v>
      </c>
      <c r="G434" s="5">
        <v>99.999999999999986</v>
      </c>
      <c r="H434" s="4">
        <v>4</v>
      </c>
    </row>
    <row r="435" spans="1:8" x14ac:dyDescent="0.15">
      <c r="A435" s="2" t="s">
        <v>51</v>
      </c>
      <c r="B435" s="4">
        <v>1</v>
      </c>
      <c r="C435" s="5">
        <v>0.08</v>
      </c>
      <c r="D435" s="4">
        <v>0</v>
      </c>
      <c r="E435" s="5">
        <v>0</v>
      </c>
      <c r="F435" s="4">
        <v>1</v>
      </c>
      <c r="G435" s="5">
        <v>0.24</v>
      </c>
      <c r="H435" s="4">
        <v>0</v>
      </c>
    </row>
    <row r="436" spans="1:8" x14ac:dyDescent="0.15">
      <c r="A436" s="2" t="s">
        <v>52</v>
      </c>
      <c r="B436" s="4">
        <v>141</v>
      </c>
      <c r="C436" s="5">
        <v>11.29</v>
      </c>
      <c r="D436" s="4">
        <v>76</v>
      </c>
      <c r="E436" s="5">
        <v>9.16</v>
      </c>
      <c r="F436" s="4">
        <v>65</v>
      </c>
      <c r="G436" s="5">
        <v>15.66</v>
      </c>
      <c r="H436" s="4">
        <v>0</v>
      </c>
    </row>
    <row r="437" spans="1:8" x14ac:dyDescent="0.15">
      <c r="A437" s="2" t="s">
        <v>53</v>
      </c>
      <c r="B437" s="4">
        <v>332</v>
      </c>
      <c r="C437" s="5">
        <v>26.58</v>
      </c>
      <c r="D437" s="4">
        <v>223</v>
      </c>
      <c r="E437" s="5">
        <v>26.87</v>
      </c>
      <c r="F437" s="4">
        <v>109</v>
      </c>
      <c r="G437" s="5">
        <v>26.27</v>
      </c>
      <c r="H437" s="4">
        <v>0</v>
      </c>
    </row>
    <row r="438" spans="1:8" x14ac:dyDescent="0.15">
      <c r="A438" s="2" t="s">
        <v>54</v>
      </c>
      <c r="B438" s="4">
        <v>1</v>
      </c>
      <c r="C438" s="5">
        <v>0.08</v>
      </c>
      <c r="D438" s="4">
        <v>0</v>
      </c>
      <c r="E438" s="5">
        <v>0</v>
      </c>
      <c r="F438" s="4">
        <v>1</v>
      </c>
      <c r="G438" s="5">
        <v>0.24</v>
      </c>
      <c r="H438" s="4">
        <v>0</v>
      </c>
    </row>
    <row r="439" spans="1:8" x14ac:dyDescent="0.15">
      <c r="A439" s="2" t="s">
        <v>55</v>
      </c>
      <c r="B439" s="4">
        <v>3</v>
      </c>
      <c r="C439" s="5">
        <v>0.24</v>
      </c>
      <c r="D439" s="4">
        <v>0</v>
      </c>
      <c r="E439" s="5">
        <v>0</v>
      </c>
      <c r="F439" s="4">
        <v>3</v>
      </c>
      <c r="G439" s="5">
        <v>0.72</v>
      </c>
      <c r="H439" s="4">
        <v>0</v>
      </c>
    </row>
    <row r="440" spans="1:8" x14ac:dyDescent="0.15">
      <c r="A440" s="2" t="s">
        <v>56</v>
      </c>
      <c r="B440" s="4">
        <v>14</v>
      </c>
      <c r="C440" s="5">
        <v>1.1200000000000001</v>
      </c>
      <c r="D440" s="4">
        <v>6</v>
      </c>
      <c r="E440" s="5">
        <v>0.72</v>
      </c>
      <c r="F440" s="4">
        <v>8</v>
      </c>
      <c r="G440" s="5">
        <v>1.93</v>
      </c>
      <c r="H440" s="4">
        <v>0</v>
      </c>
    </row>
    <row r="441" spans="1:8" x14ac:dyDescent="0.15">
      <c r="A441" s="2" t="s">
        <v>57</v>
      </c>
      <c r="B441" s="4">
        <v>305</v>
      </c>
      <c r="C441" s="5">
        <v>24.42</v>
      </c>
      <c r="D441" s="4">
        <v>187</v>
      </c>
      <c r="E441" s="5">
        <v>22.53</v>
      </c>
      <c r="F441" s="4">
        <v>114</v>
      </c>
      <c r="G441" s="5">
        <v>27.47</v>
      </c>
      <c r="H441" s="4">
        <v>4</v>
      </c>
    </row>
    <row r="442" spans="1:8" x14ac:dyDescent="0.15">
      <c r="A442" s="2" t="s">
        <v>58</v>
      </c>
      <c r="B442" s="4">
        <v>9</v>
      </c>
      <c r="C442" s="5">
        <v>0.72</v>
      </c>
      <c r="D442" s="4">
        <v>4</v>
      </c>
      <c r="E442" s="5">
        <v>0.48</v>
      </c>
      <c r="F442" s="4">
        <v>5</v>
      </c>
      <c r="G442" s="5">
        <v>1.2</v>
      </c>
      <c r="H442" s="4">
        <v>0</v>
      </c>
    </row>
    <row r="443" spans="1:8" x14ac:dyDescent="0.15">
      <c r="A443" s="2" t="s">
        <v>59</v>
      </c>
      <c r="B443" s="4">
        <v>64</v>
      </c>
      <c r="C443" s="5">
        <v>5.12</v>
      </c>
      <c r="D443" s="4">
        <v>32</v>
      </c>
      <c r="E443" s="5">
        <v>3.86</v>
      </c>
      <c r="F443" s="4">
        <v>32</v>
      </c>
      <c r="G443" s="5">
        <v>7.71</v>
      </c>
      <c r="H443" s="4">
        <v>0</v>
      </c>
    </row>
    <row r="444" spans="1:8" x14ac:dyDescent="0.15">
      <c r="A444" s="2" t="s">
        <v>60</v>
      </c>
      <c r="B444" s="4">
        <v>49</v>
      </c>
      <c r="C444" s="5">
        <v>3.92</v>
      </c>
      <c r="D444" s="4">
        <v>36</v>
      </c>
      <c r="E444" s="5">
        <v>4.34</v>
      </c>
      <c r="F444" s="4">
        <v>13</v>
      </c>
      <c r="G444" s="5">
        <v>3.13</v>
      </c>
      <c r="H444" s="4">
        <v>0</v>
      </c>
    </row>
    <row r="445" spans="1:8" x14ac:dyDescent="0.15">
      <c r="A445" s="2" t="s">
        <v>61</v>
      </c>
      <c r="B445" s="4">
        <v>110</v>
      </c>
      <c r="C445" s="5">
        <v>8.81</v>
      </c>
      <c r="D445" s="4">
        <v>100</v>
      </c>
      <c r="E445" s="5">
        <v>12.05</v>
      </c>
      <c r="F445" s="4">
        <v>10</v>
      </c>
      <c r="G445" s="5">
        <v>2.41</v>
      </c>
      <c r="H445" s="4">
        <v>0</v>
      </c>
    </row>
    <row r="446" spans="1:8" x14ac:dyDescent="0.15">
      <c r="A446" s="2" t="s">
        <v>62</v>
      </c>
      <c r="B446" s="4">
        <v>111</v>
      </c>
      <c r="C446" s="5">
        <v>8.89</v>
      </c>
      <c r="D446" s="4">
        <v>86</v>
      </c>
      <c r="E446" s="5">
        <v>10.36</v>
      </c>
      <c r="F446" s="4">
        <v>25</v>
      </c>
      <c r="G446" s="5">
        <v>6.02</v>
      </c>
      <c r="H446" s="4">
        <v>0</v>
      </c>
    </row>
    <row r="447" spans="1:8" x14ac:dyDescent="0.15">
      <c r="A447" s="2" t="s">
        <v>63</v>
      </c>
      <c r="B447" s="4">
        <v>38</v>
      </c>
      <c r="C447" s="5">
        <v>3.04</v>
      </c>
      <c r="D447" s="4">
        <v>32</v>
      </c>
      <c r="E447" s="5">
        <v>3.86</v>
      </c>
      <c r="F447" s="4">
        <v>6</v>
      </c>
      <c r="G447" s="5">
        <v>1.45</v>
      </c>
      <c r="H447" s="4">
        <v>0</v>
      </c>
    </row>
    <row r="448" spans="1:8" x14ac:dyDescent="0.15">
      <c r="A448" s="2" t="s">
        <v>64</v>
      </c>
      <c r="B448" s="4">
        <v>32</v>
      </c>
      <c r="C448" s="5">
        <v>2.56</v>
      </c>
      <c r="D448" s="4">
        <v>26</v>
      </c>
      <c r="E448" s="5">
        <v>3.13</v>
      </c>
      <c r="F448" s="4">
        <v>6</v>
      </c>
      <c r="G448" s="5">
        <v>1.45</v>
      </c>
      <c r="H448" s="4">
        <v>0</v>
      </c>
    </row>
    <row r="449" spans="1:8" x14ac:dyDescent="0.15">
      <c r="A449" s="2" t="s">
        <v>65</v>
      </c>
      <c r="B449" s="4">
        <v>39</v>
      </c>
      <c r="C449" s="5">
        <v>3.12</v>
      </c>
      <c r="D449" s="4">
        <v>22</v>
      </c>
      <c r="E449" s="5">
        <v>2.65</v>
      </c>
      <c r="F449" s="4">
        <v>17</v>
      </c>
      <c r="G449" s="5">
        <v>4.0999999999999996</v>
      </c>
      <c r="H449" s="4">
        <v>0</v>
      </c>
    </row>
    <row r="450" spans="1:8" x14ac:dyDescent="0.15">
      <c r="A450" s="1" t="s">
        <v>28</v>
      </c>
      <c r="B450" s="4">
        <v>1375</v>
      </c>
      <c r="C450" s="5">
        <v>100</v>
      </c>
      <c r="D450" s="4">
        <v>658</v>
      </c>
      <c r="E450" s="5">
        <v>99.989999999999981</v>
      </c>
      <c r="F450" s="4">
        <v>716</v>
      </c>
      <c r="G450" s="5">
        <v>100</v>
      </c>
      <c r="H450" s="4">
        <v>1</v>
      </c>
    </row>
    <row r="451" spans="1:8" x14ac:dyDescent="0.15">
      <c r="A451" s="2" t="s">
        <v>51</v>
      </c>
      <c r="B451" s="4">
        <v>0</v>
      </c>
      <c r="C451" s="5">
        <v>0</v>
      </c>
      <c r="D451" s="4">
        <v>0</v>
      </c>
      <c r="E451" s="5">
        <v>0</v>
      </c>
      <c r="F451" s="4">
        <v>0</v>
      </c>
      <c r="G451" s="5">
        <v>0</v>
      </c>
      <c r="H451" s="4">
        <v>0</v>
      </c>
    </row>
    <row r="452" spans="1:8" x14ac:dyDescent="0.15">
      <c r="A452" s="2" t="s">
        <v>52</v>
      </c>
      <c r="B452" s="4">
        <v>184</v>
      </c>
      <c r="C452" s="5">
        <v>13.38</v>
      </c>
      <c r="D452" s="4">
        <v>40</v>
      </c>
      <c r="E452" s="5">
        <v>6.08</v>
      </c>
      <c r="F452" s="4">
        <v>144</v>
      </c>
      <c r="G452" s="5">
        <v>20.11</v>
      </c>
      <c r="H452" s="4">
        <v>0</v>
      </c>
    </row>
    <row r="453" spans="1:8" x14ac:dyDescent="0.15">
      <c r="A453" s="2" t="s">
        <v>53</v>
      </c>
      <c r="B453" s="4">
        <v>74</v>
      </c>
      <c r="C453" s="5">
        <v>5.38</v>
      </c>
      <c r="D453" s="4">
        <v>25</v>
      </c>
      <c r="E453" s="5">
        <v>3.8</v>
      </c>
      <c r="F453" s="4">
        <v>49</v>
      </c>
      <c r="G453" s="5">
        <v>6.84</v>
      </c>
      <c r="H453" s="4">
        <v>0</v>
      </c>
    </row>
    <row r="454" spans="1:8" x14ac:dyDescent="0.15">
      <c r="A454" s="2" t="s">
        <v>54</v>
      </c>
      <c r="B454" s="4">
        <v>1</v>
      </c>
      <c r="C454" s="5">
        <v>7.0000000000000007E-2</v>
      </c>
      <c r="D454" s="4">
        <v>0</v>
      </c>
      <c r="E454" s="5">
        <v>0</v>
      </c>
      <c r="F454" s="4">
        <v>1</v>
      </c>
      <c r="G454" s="5">
        <v>0.14000000000000001</v>
      </c>
      <c r="H454" s="4">
        <v>0</v>
      </c>
    </row>
    <row r="455" spans="1:8" x14ac:dyDescent="0.15">
      <c r="A455" s="2" t="s">
        <v>55</v>
      </c>
      <c r="B455" s="4">
        <v>16</v>
      </c>
      <c r="C455" s="5">
        <v>1.1599999999999999</v>
      </c>
      <c r="D455" s="4">
        <v>0</v>
      </c>
      <c r="E455" s="5">
        <v>0</v>
      </c>
      <c r="F455" s="4">
        <v>16</v>
      </c>
      <c r="G455" s="5">
        <v>2.23</v>
      </c>
      <c r="H455" s="4">
        <v>0</v>
      </c>
    </row>
    <row r="456" spans="1:8" x14ac:dyDescent="0.15">
      <c r="A456" s="2" t="s">
        <v>56</v>
      </c>
      <c r="B456" s="4">
        <v>13</v>
      </c>
      <c r="C456" s="5">
        <v>0.95</v>
      </c>
      <c r="D456" s="4">
        <v>0</v>
      </c>
      <c r="E456" s="5">
        <v>0</v>
      </c>
      <c r="F456" s="4">
        <v>13</v>
      </c>
      <c r="G456" s="5">
        <v>1.82</v>
      </c>
      <c r="H456" s="4">
        <v>0</v>
      </c>
    </row>
    <row r="457" spans="1:8" x14ac:dyDescent="0.15">
      <c r="A457" s="2" t="s">
        <v>57</v>
      </c>
      <c r="B457" s="4">
        <v>350</v>
      </c>
      <c r="C457" s="5">
        <v>25.45</v>
      </c>
      <c r="D457" s="4">
        <v>173</v>
      </c>
      <c r="E457" s="5">
        <v>26.29</v>
      </c>
      <c r="F457" s="4">
        <v>177</v>
      </c>
      <c r="G457" s="5">
        <v>24.72</v>
      </c>
      <c r="H457" s="4">
        <v>0</v>
      </c>
    </row>
    <row r="458" spans="1:8" x14ac:dyDescent="0.15">
      <c r="A458" s="2" t="s">
        <v>58</v>
      </c>
      <c r="B458" s="4">
        <v>7</v>
      </c>
      <c r="C458" s="5">
        <v>0.51</v>
      </c>
      <c r="D458" s="4">
        <v>2</v>
      </c>
      <c r="E458" s="5">
        <v>0.3</v>
      </c>
      <c r="F458" s="4">
        <v>5</v>
      </c>
      <c r="G458" s="5">
        <v>0.7</v>
      </c>
      <c r="H458" s="4">
        <v>0</v>
      </c>
    </row>
    <row r="459" spans="1:8" x14ac:dyDescent="0.15">
      <c r="A459" s="2" t="s">
        <v>59</v>
      </c>
      <c r="B459" s="4">
        <v>135</v>
      </c>
      <c r="C459" s="5">
        <v>9.82</v>
      </c>
      <c r="D459" s="4">
        <v>40</v>
      </c>
      <c r="E459" s="5">
        <v>6.08</v>
      </c>
      <c r="F459" s="4">
        <v>95</v>
      </c>
      <c r="G459" s="5">
        <v>13.27</v>
      </c>
      <c r="H459" s="4">
        <v>0</v>
      </c>
    </row>
    <row r="460" spans="1:8" x14ac:dyDescent="0.15">
      <c r="A460" s="2" t="s">
        <v>60</v>
      </c>
      <c r="B460" s="4">
        <v>87</v>
      </c>
      <c r="C460" s="5">
        <v>6.33</v>
      </c>
      <c r="D460" s="4">
        <v>51</v>
      </c>
      <c r="E460" s="5">
        <v>7.75</v>
      </c>
      <c r="F460" s="4">
        <v>36</v>
      </c>
      <c r="G460" s="5">
        <v>5.03</v>
      </c>
      <c r="H460" s="4">
        <v>0</v>
      </c>
    </row>
    <row r="461" spans="1:8" x14ac:dyDescent="0.15">
      <c r="A461" s="2" t="s">
        <v>61</v>
      </c>
      <c r="B461" s="4">
        <v>150</v>
      </c>
      <c r="C461" s="5">
        <v>10.91</v>
      </c>
      <c r="D461" s="4">
        <v>110</v>
      </c>
      <c r="E461" s="5">
        <v>16.72</v>
      </c>
      <c r="F461" s="4">
        <v>40</v>
      </c>
      <c r="G461" s="5">
        <v>5.59</v>
      </c>
      <c r="H461" s="4">
        <v>0</v>
      </c>
    </row>
    <row r="462" spans="1:8" x14ac:dyDescent="0.15">
      <c r="A462" s="2" t="s">
        <v>62</v>
      </c>
      <c r="B462" s="4">
        <v>171</v>
      </c>
      <c r="C462" s="5">
        <v>12.44</v>
      </c>
      <c r="D462" s="4">
        <v>118</v>
      </c>
      <c r="E462" s="5">
        <v>17.93</v>
      </c>
      <c r="F462" s="4">
        <v>53</v>
      </c>
      <c r="G462" s="5">
        <v>7.4</v>
      </c>
      <c r="H462" s="4">
        <v>0</v>
      </c>
    </row>
    <row r="463" spans="1:8" x14ac:dyDescent="0.15">
      <c r="A463" s="2" t="s">
        <v>63</v>
      </c>
      <c r="B463" s="4">
        <v>65</v>
      </c>
      <c r="C463" s="5">
        <v>4.7300000000000004</v>
      </c>
      <c r="D463" s="4">
        <v>42</v>
      </c>
      <c r="E463" s="5">
        <v>6.38</v>
      </c>
      <c r="F463" s="4">
        <v>23</v>
      </c>
      <c r="G463" s="5">
        <v>3.21</v>
      </c>
      <c r="H463" s="4">
        <v>0</v>
      </c>
    </row>
    <row r="464" spans="1:8" x14ac:dyDescent="0.15">
      <c r="A464" s="2" t="s">
        <v>64</v>
      </c>
      <c r="B464" s="4">
        <v>67</v>
      </c>
      <c r="C464" s="5">
        <v>4.87</v>
      </c>
      <c r="D464" s="4">
        <v>36</v>
      </c>
      <c r="E464" s="5">
        <v>5.47</v>
      </c>
      <c r="F464" s="4">
        <v>30</v>
      </c>
      <c r="G464" s="5">
        <v>4.1900000000000004</v>
      </c>
      <c r="H464" s="4">
        <v>1</v>
      </c>
    </row>
    <row r="465" spans="1:8" x14ac:dyDescent="0.15">
      <c r="A465" s="2" t="s">
        <v>65</v>
      </c>
      <c r="B465" s="4">
        <v>55</v>
      </c>
      <c r="C465" s="5">
        <v>4</v>
      </c>
      <c r="D465" s="4">
        <v>21</v>
      </c>
      <c r="E465" s="5">
        <v>3.19</v>
      </c>
      <c r="F465" s="4">
        <v>34</v>
      </c>
      <c r="G465" s="5">
        <v>4.75</v>
      </c>
      <c r="H465" s="4">
        <v>0</v>
      </c>
    </row>
    <row r="466" spans="1:8" x14ac:dyDescent="0.15">
      <c r="A466" s="1" t="s">
        <v>29</v>
      </c>
      <c r="B466" s="4">
        <v>1142</v>
      </c>
      <c r="C466" s="5">
        <v>100.00999999999999</v>
      </c>
      <c r="D466" s="4">
        <v>647</v>
      </c>
      <c r="E466" s="5">
        <v>99.999999999999986</v>
      </c>
      <c r="F466" s="4">
        <v>495</v>
      </c>
      <c r="G466" s="5">
        <v>99.98</v>
      </c>
      <c r="H466" s="4">
        <v>0</v>
      </c>
    </row>
    <row r="467" spans="1:8" x14ac:dyDescent="0.15">
      <c r="A467" s="2" t="s">
        <v>51</v>
      </c>
      <c r="B467" s="4">
        <v>0</v>
      </c>
      <c r="C467" s="5">
        <v>0</v>
      </c>
      <c r="D467" s="4">
        <v>0</v>
      </c>
      <c r="E467" s="5">
        <v>0</v>
      </c>
      <c r="F467" s="4">
        <v>0</v>
      </c>
      <c r="G467" s="5">
        <v>0</v>
      </c>
      <c r="H467" s="4">
        <v>0</v>
      </c>
    </row>
    <row r="468" spans="1:8" x14ac:dyDescent="0.15">
      <c r="A468" s="2" t="s">
        <v>52</v>
      </c>
      <c r="B468" s="4">
        <v>160</v>
      </c>
      <c r="C468" s="5">
        <v>14.01</v>
      </c>
      <c r="D468" s="4">
        <v>82</v>
      </c>
      <c r="E468" s="5">
        <v>12.67</v>
      </c>
      <c r="F468" s="4">
        <v>78</v>
      </c>
      <c r="G468" s="5">
        <v>15.76</v>
      </c>
      <c r="H468" s="4">
        <v>0</v>
      </c>
    </row>
    <row r="469" spans="1:8" x14ac:dyDescent="0.15">
      <c r="A469" s="2" t="s">
        <v>53</v>
      </c>
      <c r="B469" s="4">
        <v>355</v>
      </c>
      <c r="C469" s="5">
        <v>31.09</v>
      </c>
      <c r="D469" s="4">
        <v>184</v>
      </c>
      <c r="E469" s="5">
        <v>28.44</v>
      </c>
      <c r="F469" s="4">
        <v>171</v>
      </c>
      <c r="G469" s="5">
        <v>34.549999999999997</v>
      </c>
      <c r="H469" s="4">
        <v>0</v>
      </c>
    </row>
    <row r="470" spans="1:8" x14ac:dyDescent="0.15">
      <c r="A470" s="2" t="s">
        <v>54</v>
      </c>
      <c r="B470" s="4">
        <v>0</v>
      </c>
      <c r="C470" s="5">
        <v>0</v>
      </c>
      <c r="D470" s="4">
        <v>0</v>
      </c>
      <c r="E470" s="5">
        <v>0</v>
      </c>
      <c r="F470" s="4">
        <v>0</v>
      </c>
      <c r="G470" s="5">
        <v>0</v>
      </c>
      <c r="H470" s="4">
        <v>0</v>
      </c>
    </row>
    <row r="471" spans="1:8" x14ac:dyDescent="0.15">
      <c r="A471" s="2" t="s">
        <v>55</v>
      </c>
      <c r="B471" s="4">
        <v>7</v>
      </c>
      <c r="C471" s="5">
        <v>0.61</v>
      </c>
      <c r="D471" s="4">
        <v>0</v>
      </c>
      <c r="E471" s="5">
        <v>0</v>
      </c>
      <c r="F471" s="4">
        <v>7</v>
      </c>
      <c r="G471" s="5">
        <v>1.41</v>
      </c>
      <c r="H471" s="4">
        <v>0</v>
      </c>
    </row>
    <row r="472" spans="1:8" x14ac:dyDescent="0.15">
      <c r="A472" s="2" t="s">
        <v>56</v>
      </c>
      <c r="B472" s="4">
        <v>19</v>
      </c>
      <c r="C472" s="5">
        <v>1.66</v>
      </c>
      <c r="D472" s="4">
        <v>2</v>
      </c>
      <c r="E472" s="5">
        <v>0.31</v>
      </c>
      <c r="F472" s="4">
        <v>17</v>
      </c>
      <c r="G472" s="5">
        <v>3.43</v>
      </c>
      <c r="H472" s="4">
        <v>0</v>
      </c>
    </row>
    <row r="473" spans="1:8" x14ac:dyDescent="0.15">
      <c r="A473" s="2" t="s">
        <v>57</v>
      </c>
      <c r="B473" s="4">
        <v>264</v>
      </c>
      <c r="C473" s="5">
        <v>23.12</v>
      </c>
      <c r="D473" s="4">
        <v>139</v>
      </c>
      <c r="E473" s="5">
        <v>21.48</v>
      </c>
      <c r="F473" s="4">
        <v>125</v>
      </c>
      <c r="G473" s="5">
        <v>25.25</v>
      </c>
      <c r="H473" s="4">
        <v>0</v>
      </c>
    </row>
    <row r="474" spans="1:8" x14ac:dyDescent="0.15">
      <c r="A474" s="2" t="s">
        <v>58</v>
      </c>
      <c r="B474" s="4">
        <v>11</v>
      </c>
      <c r="C474" s="5">
        <v>0.96</v>
      </c>
      <c r="D474" s="4">
        <v>6</v>
      </c>
      <c r="E474" s="5">
        <v>0.93</v>
      </c>
      <c r="F474" s="4">
        <v>5</v>
      </c>
      <c r="G474" s="5">
        <v>1.01</v>
      </c>
      <c r="H474" s="4">
        <v>0</v>
      </c>
    </row>
    <row r="475" spans="1:8" x14ac:dyDescent="0.15">
      <c r="A475" s="2" t="s">
        <v>59</v>
      </c>
      <c r="B475" s="4">
        <v>20</v>
      </c>
      <c r="C475" s="5">
        <v>1.75</v>
      </c>
      <c r="D475" s="4">
        <v>4</v>
      </c>
      <c r="E475" s="5">
        <v>0.62</v>
      </c>
      <c r="F475" s="4">
        <v>16</v>
      </c>
      <c r="G475" s="5">
        <v>3.23</v>
      </c>
      <c r="H475" s="4">
        <v>0</v>
      </c>
    </row>
    <row r="476" spans="1:8" x14ac:dyDescent="0.15">
      <c r="A476" s="2" t="s">
        <v>60</v>
      </c>
      <c r="B476" s="4">
        <v>43</v>
      </c>
      <c r="C476" s="5">
        <v>3.77</v>
      </c>
      <c r="D476" s="4">
        <v>26</v>
      </c>
      <c r="E476" s="5">
        <v>4.0199999999999996</v>
      </c>
      <c r="F476" s="4">
        <v>17</v>
      </c>
      <c r="G476" s="5">
        <v>3.43</v>
      </c>
      <c r="H476" s="4">
        <v>0</v>
      </c>
    </row>
    <row r="477" spans="1:8" x14ac:dyDescent="0.15">
      <c r="A477" s="2" t="s">
        <v>61</v>
      </c>
      <c r="B477" s="4">
        <v>80</v>
      </c>
      <c r="C477" s="5">
        <v>7.01</v>
      </c>
      <c r="D477" s="4">
        <v>69</v>
      </c>
      <c r="E477" s="5">
        <v>10.66</v>
      </c>
      <c r="F477" s="4">
        <v>11</v>
      </c>
      <c r="G477" s="5">
        <v>2.2200000000000002</v>
      </c>
      <c r="H477" s="4">
        <v>0</v>
      </c>
    </row>
    <row r="478" spans="1:8" x14ac:dyDescent="0.15">
      <c r="A478" s="2" t="s">
        <v>62</v>
      </c>
      <c r="B478" s="4">
        <v>111</v>
      </c>
      <c r="C478" s="5">
        <v>9.7200000000000006</v>
      </c>
      <c r="D478" s="4">
        <v>88</v>
      </c>
      <c r="E478" s="5">
        <v>13.6</v>
      </c>
      <c r="F478" s="4">
        <v>23</v>
      </c>
      <c r="G478" s="5">
        <v>4.6500000000000004</v>
      </c>
      <c r="H478" s="4">
        <v>0</v>
      </c>
    </row>
    <row r="479" spans="1:8" x14ac:dyDescent="0.15">
      <c r="A479" s="2" t="s">
        <v>63</v>
      </c>
      <c r="B479" s="4">
        <v>20</v>
      </c>
      <c r="C479" s="5">
        <v>1.75</v>
      </c>
      <c r="D479" s="4">
        <v>13</v>
      </c>
      <c r="E479" s="5">
        <v>2.0099999999999998</v>
      </c>
      <c r="F479" s="4">
        <v>7</v>
      </c>
      <c r="G479" s="5">
        <v>1.41</v>
      </c>
      <c r="H479" s="4">
        <v>0</v>
      </c>
    </row>
    <row r="480" spans="1:8" x14ac:dyDescent="0.15">
      <c r="A480" s="2" t="s">
        <v>64</v>
      </c>
      <c r="B480" s="4">
        <v>26</v>
      </c>
      <c r="C480" s="5">
        <v>2.2799999999999998</v>
      </c>
      <c r="D480" s="4">
        <v>19</v>
      </c>
      <c r="E480" s="5">
        <v>2.94</v>
      </c>
      <c r="F480" s="4">
        <v>7</v>
      </c>
      <c r="G480" s="5">
        <v>1.41</v>
      </c>
      <c r="H480" s="4">
        <v>0</v>
      </c>
    </row>
    <row r="481" spans="1:8" x14ac:dyDescent="0.15">
      <c r="A481" s="2" t="s">
        <v>65</v>
      </c>
      <c r="B481" s="4">
        <v>26</v>
      </c>
      <c r="C481" s="5">
        <v>2.2799999999999998</v>
      </c>
      <c r="D481" s="4">
        <v>15</v>
      </c>
      <c r="E481" s="5">
        <v>2.3199999999999998</v>
      </c>
      <c r="F481" s="4">
        <v>11</v>
      </c>
      <c r="G481" s="5">
        <v>2.2200000000000002</v>
      </c>
      <c r="H481" s="4">
        <v>0</v>
      </c>
    </row>
    <row r="482" spans="1:8" x14ac:dyDescent="0.15">
      <c r="A482" s="1" t="s">
        <v>30</v>
      </c>
      <c r="B482" s="4">
        <v>1147</v>
      </c>
      <c r="C482" s="5">
        <v>100.00999999999998</v>
      </c>
      <c r="D482" s="4">
        <v>807</v>
      </c>
      <c r="E482" s="5">
        <v>100</v>
      </c>
      <c r="F482" s="4">
        <v>337</v>
      </c>
      <c r="G482" s="5">
        <v>99.980000000000032</v>
      </c>
      <c r="H482" s="4">
        <v>3</v>
      </c>
    </row>
    <row r="483" spans="1:8" x14ac:dyDescent="0.15">
      <c r="A483" s="2" t="s">
        <v>51</v>
      </c>
      <c r="B483" s="4">
        <v>0</v>
      </c>
      <c r="C483" s="5">
        <v>0</v>
      </c>
      <c r="D483" s="4">
        <v>0</v>
      </c>
      <c r="E483" s="5">
        <v>0</v>
      </c>
      <c r="F483" s="4">
        <v>0</v>
      </c>
      <c r="G483" s="5">
        <v>0</v>
      </c>
      <c r="H483" s="4">
        <v>0</v>
      </c>
    </row>
    <row r="484" spans="1:8" x14ac:dyDescent="0.15">
      <c r="A484" s="2" t="s">
        <v>52</v>
      </c>
      <c r="B484" s="4">
        <v>226</v>
      </c>
      <c r="C484" s="5">
        <v>19.7</v>
      </c>
      <c r="D484" s="4">
        <v>151</v>
      </c>
      <c r="E484" s="5">
        <v>18.71</v>
      </c>
      <c r="F484" s="4">
        <v>75</v>
      </c>
      <c r="G484" s="5">
        <v>22.26</v>
      </c>
      <c r="H484" s="4">
        <v>0</v>
      </c>
    </row>
    <row r="485" spans="1:8" x14ac:dyDescent="0.15">
      <c r="A485" s="2" t="s">
        <v>53</v>
      </c>
      <c r="B485" s="4">
        <v>174</v>
      </c>
      <c r="C485" s="5">
        <v>15.17</v>
      </c>
      <c r="D485" s="4">
        <v>115</v>
      </c>
      <c r="E485" s="5">
        <v>14.25</v>
      </c>
      <c r="F485" s="4">
        <v>58</v>
      </c>
      <c r="G485" s="5">
        <v>17.21</v>
      </c>
      <c r="H485" s="4">
        <v>1</v>
      </c>
    </row>
    <row r="486" spans="1:8" x14ac:dyDescent="0.15">
      <c r="A486" s="2" t="s">
        <v>54</v>
      </c>
      <c r="B486" s="4">
        <v>1</v>
      </c>
      <c r="C486" s="5">
        <v>0.09</v>
      </c>
      <c r="D486" s="4">
        <v>0</v>
      </c>
      <c r="E486" s="5">
        <v>0</v>
      </c>
      <c r="F486" s="4">
        <v>1</v>
      </c>
      <c r="G486" s="5">
        <v>0.3</v>
      </c>
      <c r="H486" s="4">
        <v>0</v>
      </c>
    </row>
    <row r="487" spans="1:8" x14ac:dyDescent="0.15">
      <c r="A487" s="2" t="s">
        <v>55</v>
      </c>
      <c r="B487" s="4">
        <v>6</v>
      </c>
      <c r="C487" s="5">
        <v>0.52</v>
      </c>
      <c r="D487" s="4">
        <v>0</v>
      </c>
      <c r="E487" s="5">
        <v>0</v>
      </c>
      <c r="F487" s="4">
        <v>6</v>
      </c>
      <c r="G487" s="5">
        <v>1.78</v>
      </c>
      <c r="H487" s="4">
        <v>0</v>
      </c>
    </row>
    <row r="488" spans="1:8" x14ac:dyDescent="0.15">
      <c r="A488" s="2" t="s">
        <v>56</v>
      </c>
      <c r="B488" s="4">
        <v>8</v>
      </c>
      <c r="C488" s="5">
        <v>0.7</v>
      </c>
      <c r="D488" s="4">
        <v>3</v>
      </c>
      <c r="E488" s="5">
        <v>0.37</v>
      </c>
      <c r="F488" s="4">
        <v>5</v>
      </c>
      <c r="G488" s="5">
        <v>1.48</v>
      </c>
      <c r="H488" s="4">
        <v>0</v>
      </c>
    </row>
    <row r="489" spans="1:8" x14ac:dyDescent="0.15">
      <c r="A489" s="2" t="s">
        <v>57</v>
      </c>
      <c r="B489" s="4">
        <v>324</v>
      </c>
      <c r="C489" s="5">
        <v>28.25</v>
      </c>
      <c r="D489" s="4">
        <v>215</v>
      </c>
      <c r="E489" s="5">
        <v>26.64</v>
      </c>
      <c r="F489" s="4">
        <v>109</v>
      </c>
      <c r="G489" s="5">
        <v>32.340000000000003</v>
      </c>
      <c r="H489" s="4">
        <v>0</v>
      </c>
    </row>
    <row r="490" spans="1:8" x14ac:dyDescent="0.15">
      <c r="A490" s="2" t="s">
        <v>58</v>
      </c>
      <c r="B490" s="4">
        <v>4</v>
      </c>
      <c r="C490" s="5">
        <v>0.35</v>
      </c>
      <c r="D490" s="4">
        <v>2</v>
      </c>
      <c r="E490" s="5">
        <v>0.25</v>
      </c>
      <c r="F490" s="4">
        <v>2</v>
      </c>
      <c r="G490" s="5">
        <v>0.59</v>
      </c>
      <c r="H490" s="4">
        <v>0</v>
      </c>
    </row>
    <row r="491" spans="1:8" x14ac:dyDescent="0.15">
      <c r="A491" s="2" t="s">
        <v>59</v>
      </c>
      <c r="B491" s="4">
        <v>62</v>
      </c>
      <c r="C491" s="5">
        <v>5.41</v>
      </c>
      <c r="D491" s="4">
        <v>45</v>
      </c>
      <c r="E491" s="5">
        <v>5.58</v>
      </c>
      <c r="F491" s="4">
        <v>17</v>
      </c>
      <c r="G491" s="5">
        <v>5.04</v>
      </c>
      <c r="H491" s="4">
        <v>0</v>
      </c>
    </row>
    <row r="492" spans="1:8" x14ac:dyDescent="0.15">
      <c r="A492" s="2" t="s">
        <v>60</v>
      </c>
      <c r="B492" s="4">
        <v>40</v>
      </c>
      <c r="C492" s="5">
        <v>3.49</v>
      </c>
      <c r="D492" s="4">
        <v>28</v>
      </c>
      <c r="E492" s="5">
        <v>3.47</v>
      </c>
      <c r="F492" s="4">
        <v>12</v>
      </c>
      <c r="G492" s="5">
        <v>3.56</v>
      </c>
      <c r="H492" s="4">
        <v>0</v>
      </c>
    </row>
    <row r="493" spans="1:8" x14ac:dyDescent="0.15">
      <c r="A493" s="2" t="s">
        <v>61</v>
      </c>
      <c r="B493" s="4">
        <v>118</v>
      </c>
      <c r="C493" s="5">
        <v>10.29</v>
      </c>
      <c r="D493" s="4">
        <v>109</v>
      </c>
      <c r="E493" s="5">
        <v>13.51</v>
      </c>
      <c r="F493" s="4">
        <v>9</v>
      </c>
      <c r="G493" s="5">
        <v>2.67</v>
      </c>
      <c r="H493" s="4">
        <v>0</v>
      </c>
    </row>
    <row r="494" spans="1:8" x14ac:dyDescent="0.15">
      <c r="A494" s="2" t="s">
        <v>62</v>
      </c>
      <c r="B494" s="4">
        <v>106</v>
      </c>
      <c r="C494" s="5">
        <v>9.24</v>
      </c>
      <c r="D494" s="4">
        <v>91</v>
      </c>
      <c r="E494" s="5">
        <v>11.28</v>
      </c>
      <c r="F494" s="4">
        <v>15</v>
      </c>
      <c r="G494" s="5">
        <v>4.45</v>
      </c>
      <c r="H494" s="4">
        <v>0</v>
      </c>
    </row>
    <row r="495" spans="1:8" x14ac:dyDescent="0.15">
      <c r="A495" s="2" t="s">
        <v>63</v>
      </c>
      <c r="B495" s="4">
        <v>33</v>
      </c>
      <c r="C495" s="5">
        <v>2.88</v>
      </c>
      <c r="D495" s="4">
        <v>24</v>
      </c>
      <c r="E495" s="5">
        <v>2.97</v>
      </c>
      <c r="F495" s="4">
        <v>8</v>
      </c>
      <c r="G495" s="5">
        <v>2.37</v>
      </c>
      <c r="H495" s="4">
        <v>1</v>
      </c>
    </row>
    <row r="496" spans="1:8" x14ac:dyDescent="0.15">
      <c r="A496" s="2" t="s">
        <v>64</v>
      </c>
      <c r="B496" s="4">
        <v>27</v>
      </c>
      <c r="C496" s="5">
        <v>2.35</v>
      </c>
      <c r="D496" s="4">
        <v>19</v>
      </c>
      <c r="E496" s="5">
        <v>2.35</v>
      </c>
      <c r="F496" s="4">
        <v>8</v>
      </c>
      <c r="G496" s="5">
        <v>2.37</v>
      </c>
      <c r="H496" s="4">
        <v>0</v>
      </c>
    </row>
    <row r="497" spans="1:8" x14ac:dyDescent="0.15">
      <c r="A497" s="2" t="s">
        <v>65</v>
      </c>
      <c r="B497" s="4">
        <v>18</v>
      </c>
      <c r="C497" s="5">
        <v>1.57</v>
      </c>
      <c r="D497" s="4">
        <v>5</v>
      </c>
      <c r="E497" s="5">
        <v>0.62</v>
      </c>
      <c r="F497" s="4">
        <v>12</v>
      </c>
      <c r="G497" s="5">
        <v>3.56</v>
      </c>
      <c r="H497" s="4">
        <v>1</v>
      </c>
    </row>
    <row r="498" spans="1:8" x14ac:dyDescent="0.15">
      <c r="A498" s="1" t="s">
        <v>31</v>
      </c>
      <c r="B498" s="4">
        <v>824</v>
      </c>
      <c r="C498" s="5">
        <v>100.01</v>
      </c>
      <c r="D498" s="4">
        <v>574</v>
      </c>
      <c r="E498" s="5">
        <v>100</v>
      </c>
      <c r="F498" s="4">
        <v>245</v>
      </c>
      <c r="G498" s="5">
        <v>99.999999999999972</v>
      </c>
      <c r="H498" s="4">
        <v>5</v>
      </c>
    </row>
    <row r="499" spans="1:8" x14ac:dyDescent="0.15">
      <c r="A499" s="2" t="s">
        <v>51</v>
      </c>
      <c r="B499" s="4">
        <v>1</v>
      </c>
      <c r="C499" s="5">
        <v>0.12</v>
      </c>
      <c r="D499" s="4">
        <v>0</v>
      </c>
      <c r="E499" s="5">
        <v>0</v>
      </c>
      <c r="F499" s="4">
        <v>1</v>
      </c>
      <c r="G499" s="5">
        <v>0.41</v>
      </c>
      <c r="H499" s="4">
        <v>0</v>
      </c>
    </row>
    <row r="500" spans="1:8" x14ac:dyDescent="0.15">
      <c r="A500" s="2" t="s">
        <v>52</v>
      </c>
      <c r="B500" s="4">
        <v>148</v>
      </c>
      <c r="C500" s="5">
        <v>17.96</v>
      </c>
      <c r="D500" s="4">
        <v>92</v>
      </c>
      <c r="E500" s="5">
        <v>16.03</v>
      </c>
      <c r="F500" s="4">
        <v>56</v>
      </c>
      <c r="G500" s="5">
        <v>22.86</v>
      </c>
      <c r="H500" s="4">
        <v>0</v>
      </c>
    </row>
    <row r="501" spans="1:8" x14ac:dyDescent="0.15">
      <c r="A501" s="2" t="s">
        <v>53</v>
      </c>
      <c r="B501" s="4">
        <v>105</v>
      </c>
      <c r="C501" s="5">
        <v>12.74</v>
      </c>
      <c r="D501" s="4">
        <v>56</v>
      </c>
      <c r="E501" s="5">
        <v>9.76</v>
      </c>
      <c r="F501" s="4">
        <v>49</v>
      </c>
      <c r="G501" s="5">
        <v>20</v>
      </c>
      <c r="H501" s="4">
        <v>0</v>
      </c>
    </row>
    <row r="502" spans="1:8" x14ac:dyDescent="0.15">
      <c r="A502" s="2" t="s">
        <v>54</v>
      </c>
      <c r="B502" s="4">
        <v>1</v>
      </c>
      <c r="C502" s="5">
        <v>0.12</v>
      </c>
      <c r="D502" s="4">
        <v>0</v>
      </c>
      <c r="E502" s="5">
        <v>0</v>
      </c>
      <c r="F502" s="4">
        <v>1</v>
      </c>
      <c r="G502" s="5">
        <v>0.41</v>
      </c>
      <c r="H502" s="4">
        <v>0</v>
      </c>
    </row>
    <row r="503" spans="1:8" x14ac:dyDescent="0.15">
      <c r="A503" s="2" t="s">
        <v>55</v>
      </c>
      <c r="B503" s="4">
        <v>1</v>
      </c>
      <c r="C503" s="5">
        <v>0.12</v>
      </c>
      <c r="D503" s="4">
        <v>0</v>
      </c>
      <c r="E503" s="5">
        <v>0</v>
      </c>
      <c r="F503" s="4">
        <v>1</v>
      </c>
      <c r="G503" s="5">
        <v>0.41</v>
      </c>
      <c r="H503" s="4">
        <v>0</v>
      </c>
    </row>
    <row r="504" spans="1:8" x14ac:dyDescent="0.15">
      <c r="A504" s="2" t="s">
        <v>56</v>
      </c>
      <c r="B504" s="4">
        <v>13</v>
      </c>
      <c r="C504" s="5">
        <v>1.58</v>
      </c>
      <c r="D504" s="4">
        <v>7</v>
      </c>
      <c r="E504" s="5">
        <v>1.22</v>
      </c>
      <c r="F504" s="4">
        <v>5</v>
      </c>
      <c r="G504" s="5">
        <v>2.04</v>
      </c>
      <c r="H504" s="4">
        <v>1</v>
      </c>
    </row>
    <row r="505" spans="1:8" x14ac:dyDescent="0.15">
      <c r="A505" s="2" t="s">
        <v>57</v>
      </c>
      <c r="B505" s="4">
        <v>214</v>
      </c>
      <c r="C505" s="5">
        <v>25.97</v>
      </c>
      <c r="D505" s="4">
        <v>140</v>
      </c>
      <c r="E505" s="5">
        <v>24.39</v>
      </c>
      <c r="F505" s="4">
        <v>74</v>
      </c>
      <c r="G505" s="5">
        <v>30.2</v>
      </c>
      <c r="H505" s="4">
        <v>0</v>
      </c>
    </row>
    <row r="506" spans="1:8" x14ac:dyDescent="0.15">
      <c r="A506" s="2" t="s">
        <v>58</v>
      </c>
      <c r="B506" s="4">
        <v>4</v>
      </c>
      <c r="C506" s="5">
        <v>0.49</v>
      </c>
      <c r="D506" s="4">
        <v>2</v>
      </c>
      <c r="E506" s="5">
        <v>0.35</v>
      </c>
      <c r="F506" s="4">
        <v>2</v>
      </c>
      <c r="G506" s="5">
        <v>0.82</v>
      </c>
      <c r="H506" s="4">
        <v>0</v>
      </c>
    </row>
    <row r="507" spans="1:8" x14ac:dyDescent="0.15">
      <c r="A507" s="2" t="s">
        <v>59</v>
      </c>
      <c r="B507" s="4">
        <v>43</v>
      </c>
      <c r="C507" s="5">
        <v>5.22</v>
      </c>
      <c r="D507" s="4">
        <v>32</v>
      </c>
      <c r="E507" s="5">
        <v>5.57</v>
      </c>
      <c r="F507" s="4">
        <v>11</v>
      </c>
      <c r="G507" s="5">
        <v>4.49</v>
      </c>
      <c r="H507" s="4">
        <v>0</v>
      </c>
    </row>
    <row r="508" spans="1:8" x14ac:dyDescent="0.15">
      <c r="A508" s="2" t="s">
        <v>60</v>
      </c>
      <c r="B508" s="4">
        <v>30</v>
      </c>
      <c r="C508" s="5">
        <v>3.64</v>
      </c>
      <c r="D508" s="4">
        <v>26</v>
      </c>
      <c r="E508" s="5">
        <v>4.53</v>
      </c>
      <c r="F508" s="4">
        <v>4</v>
      </c>
      <c r="G508" s="5">
        <v>1.63</v>
      </c>
      <c r="H508" s="4">
        <v>0</v>
      </c>
    </row>
    <row r="509" spans="1:8" x14ac:dyDescent="0.15">
      <c r="A509" s="2" t="s">
        <v>61</v>
      </c>
      <c r="B509" s="4">
        <v>107</v>
      </c>
      <c r="C509" s="5">
        <v>12.99</v>
      </c>
      <c r="D509" s="4">
        <v>92</v>
      </c>
      <c r="E509" s="5">
        <v>16.03</v>
      </c>
      <c r="F509" s="4">
        <v>15</v>
      </c>
      <c r="G509" s="5">
        <v>6.12</v>
      </c>
      <c r="H509" s="4">
        <v>0</v>
      </c>
    </row>
    <row r="510" spans="1:8" x14ac:dyDescent="0.15">
      <c r="A510" s="2" t="s">
        <v>62</v>
      </c>
      <c r="B510" s="4">
        <v>79</v>
      </c>
      <c r="C510" s="5">
        <v>9.59</v>
      </c>
      <c r="D510" s="4">
        <v>69</v>
      </c>
      <c r="E510" s="5">
        <v>12.02</v>
      </c>
      <c r="F510" s="4">
        <v>10</v>
      </c>
      <c r="G510" s="5">
        <v>4.08</v>
      </c>
      <c r="H510" s="4">
        <v>0</v>
      </c>
    </row>
    <row r="511" spans="1:8" x14ac:dyDescent="0.15">
      <c r="A511" s="2" t="s">
        <v>63</v>
      </c>
      <c r="B511" s="4">
        <v>34</v>
      </c>
      <c r="C511" s="5">
        <v>4.13</v>
      </c>
      <c r="D511" s="4">
        <v>31</v>
      </c>
      <c r="E511" s="5">
        <v>5.4</v>
      </c>
      <c r="F511" s="4">
        <v>2</v>
      </c>
      <c r="G511" s="5">
        <v>0.82</v>
      </c>
      <c r="H511" s="4">
        <v>1</v>
      </c>
    </row>
    <row r="512" spans="1:8" x14ac:dyDescent="0.15">
      <c r="A512" s="2" t="s">
        <v>64</v>
      </c>
      <c r="B512" s="4">
        <v>24</v>
      </c>
      <c r="C512" s="5">
        <v>2.91</v>
      </c>
      <c r="D512" s="4">
        <v>15</v>
      </c>
      <c r="E512" s="5">
        <v>2.61</v>
      </c>
      <c r="F512" s="4">
        <v>9</v>
      </c>
      <c r="G512" s="5">
        <v>3.67</v>
      </c>
      <c r="H512" s="4">
        <v>0</v>
      </c>
    </row>
    <row r="513" spans="1:8" x14ac:dyDescent="0.15">
      <c r="A513" s="2" t="s">
        <v>65</v>
      </c>
      <c r="B513" s="4">
        <v>20</v>
      </c>
      <c r="C513" s="5">
        <v>2.4300000000000002</v>
      </c>
      <c r="D513" s="4">
        <v>12</v>
      </c>
      <c r="E513" s="5">
        <v>2.09</v>
      </c>
      <c r="F513" s="4">
        <v>5</v>
      </c>
      <c r="G513" s="5">
        <v>2.04</v>
      </c>
      <c r="H513" s="4">
        <v>3</v>
      </c>
    </row>
    <row r="514" spans="1:8" x14ac:dyDescent="0.15">
      <c r="A514" s="1" t="s">
        <v>32</v>
      </c>
      <c r="B514" s="4">
        <v>2003</v>
      </c>
      <c r="C514" s="5">
        <v>100</v>
      </c>
      <c r="D514" s="4">
        <v>1376</v>
      </c>
      <c r="E514" s="5">
        <v>100</v>
      </c>
      <c r="F514" s="4">
        <v>619</v>
      </c>
      <c r="G514" s="5">
        <v>99.97999999999999</v>
      </c>
      <c r="H514" s="4">
        <v>8</v>
      </c>
    </row>
    <row r="515" spans="1:8" x14ac:dyDescent="0.15">
      <c r="A515" s="2" t="s">
        <v>51</v>
      </c>
      <c r="B515" s="4">
        <v>0</v>
      </c>
      <c r="C515" s="5">
        <v>0</v>
      </c>
      <c r="D515" s="4">
        <v>0</v>
      </c>
      <c r="E515" s="5">
        <v>0</v>
      </c>
      <c r="F515" s="4">
        <v>0</v>
      </c>
      <c r="G515" s="5">
        <v>0</v>
      </c>
      <c r="H515" s="4">
        <v>0</v>
      </c>
    </row>
    <row r="516" spans="1:8" x14ac:dyDescent="0.15">
      <c r="A516" s="2" t="s">
        <v>52</v>
      </c>
      <c r="B516" s="4">
        <v>414</v>
      </c>
      <c r="C516" s="5">
        <v>20.67</v>
      </c>
      <c r="D516" s="4">
        <v>281</v>
      </c>
      <c r="E516" s="5">
        <v>20.420000000000002</v>
      </c>
      <c r="F516" s="4">
        <v>133</v>
      </c>
      <c r="G516" s="5">
        <v>21.49</v>
      </c>
      <c r="H516" s="4">
        <v>0</v>
      </c>
    </row>
    <row r="517" spans="1:8" x14ac:dyDescent="0.15">
      <c r="A517" s="2" t="s">
        <v>53</v>
      </c>
      <c r="B517" s="4">
        <v>328</v>
      </c>
      <c r="C517" s="5">
        <v>16.38</v>
      </c>
      <c r="D517" s="4">
        <v>202</v>
      </c>
      <c r="E517" s="5">
        <v>14.68</v>
      </c>
      <c r="F517" s="4">
        <v>125</v>
      </c>
      <c r="G517" s="5">
        <v>20.190000000000001</v>
      </c>
      <c r="H517" s="4">
        <v>1</v>
      </c>
    </row>
    <row r="518" spans="1:8" x14ac:dyDescent="0.15">
      <c r="A518" s="2" t="s">
        <v>54</v>
      </c>
      <c r="B518" s="4">
        <v>0</v>
      </c>
      <c r="C518" s="5">
        <v>0</v>
      </c>
      <c r="D518" s="4">
        <v>0</v>
      </c>
      <c r="E518" s="5">
        <v>0</v>
      </c>
      <c r="F518" s="4">
        <v>0</v>
      </c>
      <c r="G518" s="5">
        <v>0</v>
      </c>
      <c r="H518" s="4">
        <v>0</v>
      </c>
    </row>
    <row r="519" spans="1:8" x14ac:dyDescent="0.15">
      <c r="A519" s="2" t="s">
        <v>55</v>
      </c>
      <c r="B519" s="4">
        <v>8</v>
      </c>
      <c r="C519" s="5">
        <v>0.4</v>
      </c>
      <c r="D519" s="4">
        <v>0</v>
      </c>
      <c r="E519" s="5">
        <v>0</v>
      </c>
      <c r="F519" s="4">
        <v>8</v>
      </c>
      <c r="G519" s="5">
        <v>1.29</v>
      </c>
      <c r="H519" s="4">
        <v>0</v>
      </c>
    </row>
    <row r="520" spans="1:8" x14ac:dyDescent="0.15">
      <c r="A520" s="2" t="s">
        <v>56</v>
      </c>
      <c r="B520" s="4">
        <v>18</v>
      </c>
      <c r="C520" s="5">
        <v>0.9</v>
      </c>
      <c r="D520" s="4">
        <v>4</v>
      </c>
      <c r="E520" s="5">
        <v>0.28999999999999998</v>
      </c>
      <c r="F520" s="4">
        <v>13</v>
      </c>
      <c r="G520" s="5">
        <v>2.1</v>
      </c>
      <c r="H520" s="4">
        <v>1</v>
      </c>
    </row>
    <row r="521" spans="1:8" x14ac:dyDescent="0.15">
      <c r="A521" s="2" t="s">
        <v>57</v>
      </c>
      <c r="B521" s="4">
        <v>481</v>
      </c>
      <c r="C521" s="5">
        <v>24.01</v>
      </c>
      <c r="D521" s="4">
        <v>309</v>
      </c>
      <c r="E521" s="5">
        <v>22.46</v>
      </c>
      <c r="F521" s="4">
        <v>170</v>
      </c>
      <c r="G521" s="5">
        <v>27.46</v>
      </c>
      <c r="H521" s="4">
        <v>2</v>
      </c>
    </row>
    <row r="522" spans="1:8" x14ac:dyDescent="0.15">
      <c r="A522" s="2" t="s">
        <v>58</v>
      </c>
      <c r="B522" s="4">
        <v>3</v>
      </c>
      <c r="C522" s="5">
        <v>0.15</v>
      </c>
      <c r="D522" s="4">
        <v>0</v>
      </c>
      <c r="E522" s="5">
        <v>0</v>
      </c>
      <c r="F522" s="4">
        <v>3</v>
      </c>
      <c r="G522" s="5">
        <v>0.48</v>
      </c>
      <c r="H522" s="4">
        <v>0</v>
      </c>
    </row>
    <row r="523" spans="1:8" x14ac:dyDescent="0.15">
      <c r="A523" s="2" t="s">
        <v>59</v>
      </c>
      <c r="B523" s="4">
        <v>75</v>
      </c>
      <c r="C523" s="5">
        <v>3.74</v>
      </c>
      <c r="D523" s="4">
        <v>31</v>
      </c>
      <c r="E523" s="5">
        <v>2.25</v>
      </c>
      <c r="F523" s="4">
        <v>44</v>
      </c>
      <c r="G523" s="5">
        <v>7.11</v>
      </c>
      <c r="H523" s="4">
        <v>0</v>
      </c>
    </row>
    <row r="524" spans="1:8" x14ac:dyDescent="0.15">
      <c r="A524" s="2" t="s">
        <v>60</v>
      </c>
      <c r="B524" s="4">
        <v>66</v>
      </c>
      <c r="C524" s="5">
        <v>3.3</v>
      </c>
      <c r="D524" s="4">
        <v>53</v>
      </c>
      <c r="E524" s="5">
        <v>3.85</v>
      </c>
      <c r="F524" s="4">
        <v>13</v>
      </c>
      <c r="G524" s="5">
        <v>2.1</v>
      </c>
      <c r="H524" s="4">
        <v>0</v>
      </c>
    </row>
    <row r="525" spans="1:8" x14ac:dyDescent="0.15">
      <c r="A525" s="2" t="s">
        <v>61</v>
      </c>
      <c r="B525" s="4">
        <v>183</v>
      </c>
      <c r="C525" s="5">
        <v>9.14</v>
      </c>
      <c r="D525" s="4">
        <v>169</v>
      </c>
      <c r="E525" s="5">
        <v>12.28</v>
      </c>
      <c r="F525" s="4">
        <v>12</v>
      </c>
      <c r="G525" s="5">
        <v>1.94</v>
      </c>
      <c r="H525" s="4">
        <v>2</v>
      </c>
    </row>
    <row r="526" spans="1:8" x14ac:dyDescent="0.15">
      <c r="A526" s="2" t="s">
        <v>62</v>
      </c>
      <c r="B526" s="4">
        <v>223</v>
      </c>
      <c r="C526" s="5">
        <v>11.13</v>
      </c>
      <c r="D526" s="4">
        <v>189</v>
      </c>
      <c r="E526" s="5">
        <v>13.74</v>
      </c>
      <c r="F526" s="4">
        <v>34</v>
      </c>
      <c r="G526" s="5">
        <v>5.49</v>
      </c>
      <c r="H526" s="4">
        <v>0</v>
      </c>
    </row>
    <row r="527" spans="1:8" x14ac:dyDescent="0.15">
      <c r="A527" s="2" t="s">
        <v>63</v>
      </c>
      <c r="B527" s="4">
        <v>71</v>
      </c>
      <c r="C527" s="5">
        <v>3.54</v>
      </c>
      <c r="D527" s="4">
        <v>62</v>
      </c>
      <c r="E527" s="5">
        <v>4.51</v>
      </c>
      <c r="F527" s="4">
        <v>9</v>
      </c>
      <c r="G527" s="5">
        <v>1.45</v>
      </c>
      <c r="H527" s="4">
        <v>0</v>
      </c>
    </row>
    <row r="528" spans="1:8" x14ac:dyDescent="0.15">
      <c r="A528" s="2" t="s">
        <v>64</v>
      </c>
      <c r="B528" s="4">
        <v>79</v>
      </c>
      <c r="C528" s="5">
        <v>3.94</v>
      </c>
      <c r="D528" s="4">
        <v>39</v>
      </c>
      <c r="E528" s="5">
        <v>2.83</v>
      </c>
      <c r="F528" s="4">
        <v>40</v>
      </c>
      <c r="G528" s="5">
        <v>6.46</v>
      </c>
      <c r="H528" s="4">
        <v>0</v>
      </c>
    </row>
    <row r="529" spans="1:8" x14ac:dyDescent="0.15">
      <c r="A529" s="2" t="s">
        <v>65</v>
      </c>
      <c r="B529" s="4">
        <v>54</v>
      </c>
      <c r="C529" s="5">
        <v>2.7</v>
      </c>
      <c r="D529" s="4">
        <v>37</v>
      </c>
      <c r="E529" s="5">
        <v>2.69</v>
      </c>
      <c r="F529" s="4">
        <v>15</v>
      </c>
      <c r="G529" s="5">
        <v>2.42</v>
      </c>
      <c r="H529" s="4">
        <v>2</v>
      </c>
    </row>
    <row r="530" spans="1:8" x14ac:dyDescent="0.15">
      <c r="A530" s="1" t="s">
        <v>33</v>
      </c>
      <c r="B530" s="4">
        <v>1762</v>
      </c>
      <c r="C530" s="5">
        <v>100.00999999999999</v>
      </c>
      <c r="D530" s="4">
        <v>1311</v>
      </c>
      <c r="E530" s="5">
        <v>100</v>
      </c>
      <c r="F530" s="4">
        <v>449</v>
      </c>
      <c r="G530" s="5">
        <v>99.980000000000018</v>
      </c>
      <c r="H530" s="4">
        <v>2</v>
      </c>
    </row>
    <row r="531" spans="1:8" x14ac:dyDescent="0.15">
      <c r="A531" s="2" t="s">
        <v>51</v>
      </c>
      <c r="B531" s="4">
        <v>0</v>
      </c>
      <c r="C531" s="5">
        <v>0</v>
      </c>
      <c r="D531" s="4">
        <v>0</v>
      </c>
      <c r="E531" s="5">
        <v>0</v>
      </c>
      <c r="F531" s="4">
        <v>0</v>
      </c>
      <c r="G531" s="5">
        <v>0</v>
      </c>
      <c r="H531" s="4">
        <v>0</v>
      </c>
    </row>
    <row r="532" spans="1:8" x14ac:dyDescent="0.15">
      <c r="A532" s="2" t="s">
        <v>52</v>
      </c>
      <c r="B532" s="4">
        <v>194</v>
      </c>
      <c r="C532" s="5">
        <v>11.01</v>
      </c>
      <c r="D532" s="4">
        <v>120</v>
      </c>
      <c r="E532" s="5">
        <v>9.15</v>
      </c>
      <c r="F532" s="4">
        <v>74</v>
      </c>
      <c r="G532" s="5">
        <v>16.48</v>
      </c>
      <c r="H532" s="4">
        <v>0</v>
      </c>
    </row>
    <row r="533" spans="1:8" x14ac:dyDescent="0.15">
      <c r="A533" s="2" t="s">
        <v>53</v>
      </c>
      <c r="B533" s="4">
        <v>254</v>
      </c>
      <c r="C533" s="5">
        <v>14.42</v>
      </c>
      <c r="D533" s="4">
        <v>173</v>
      </c>
      <c r="E533" s="5">
        <v>13.2</v>
      </c>
      <c r="F533" s="4">
        <v>81</v>
      </c>
      <c r="G533" s="5">
        <v>18.04</v>
      </c>
      <c r="H533" s="4">
        <v>0</v>
      </c>
    </row>
    <row r="534" spans="1:8" x14ac:dyDescent="0.15">
      <c r="A534" s="2" t="s">
        <v>54</v>
      </c>
      <c r="B534" s="4">
        <v>1</v>
      </c>
      <c r="C534" s="5">
        <v>0.06</v>
      </c>
      <c r="D534" s="4">
        <v>0</v>
      </c>
      <c r="E534" s="5">
        <v>0</v>
      </c>
      <c r="F534" s="4">
        <v>1</v>
      </c>
      <c r="G534" s="5">
        <v>0.22</v>
      </c>
      <c r="H534" s="4">
        <v>0</v>
      </c>
    </row>
    <row r="535" spans="1:8" x14ac:dyDescent="0.15">
      <c r="A535" s="2" t="s">
        <v>55</v>
      </c>
      <c r="B535" s="4">
        <v>4</v>
      </c>
      <c r="C535" s="5">
        <v>0.23</v>
      </c>
      <c r="D535" s="4">
        <v>1</v>
      </c>
      <c r="E535" s="5">
        <v>0.08</v>
      </c>
      <c r="F535" s="4">
        <v>3</v>
      </c>
      <c r="G535" s="5">
        <v>0.67</v>
      </c>
      <c r="H535" s="4">
        <v>0</v>
      </c>
    </row>
    <row r="536" spans="1:8" x14ac:dyDescent="0.15">
      <c r="A536" s="2" t="s">
        <v>56</v>
      </c>
      <c r="B536" s="4">
        <v>17</v>
      </c>
      <c r="C536" s="5">
        <v>0.96</v>
      </c>
      <c r="D536" s="4">
        <v>1</v>
      </c>
      <c r="E536" s="5">
        <v>0.08</v>
      </c>
      <c r="F536" s="4">
        <v>16</v>
      </c>
      <c r="G536" s="5">
        <v>3.56</v>
      </c>
      <c r="H536" s="4">
        <v>0</v>
      </c>
    </row>
    <row r="537" spans="1:8" x14ac:dyDescent="0.15">
      <c r="A537" s="2" t="s">
        <v>57</v>
      </c>
      <c r="B537" s="4">
        <v>554</v>
      </c>
      <c r="C537" s="5">
        <v>31.44</v>
      </c>
      <c r="D537" s="4">
        <v>386</v>
      </c>
      <c r="E537" s="5">
        <v>29.44</v>
      </c>
      <c r="F537" s="4">
        <v>167</v>
      </c>
      <c r="G537" s="5">
        <v>37.19</v>
      </c>
      <c r="H537" s="4">
        <v>1</v>
      </c>
    </row>
    <row r="538" spans="1:8" x14ac:dyDescent="0.15">
      <c r="A538" s="2" t="s">
        <v>58</v>
      </c>
      <c r="B538" s="4">
        <v>4</v>
      </c>
      <c r="C538" s="5">
        <v>0.23</v>
      </c>
      <c r="D538" s="4">
        <v>1</v>
      </c>
      <c r="E538" s="5">
        <v>0.08</v>
      </c>
      <c r="F538" s="4">
        <v>3</v>
      </c>
      <c r="G538" s="5">
        <v>0.67</v>
      </c>
      <c r="H538" s="4">
        <v>0</v>
      </c>
    </row>
    <row r="539" spans="1:8" x14ac:dyDescent="0.15">
      <c r="A539" s="2" t="s">
        <v>59</v>
      </c>
      <c r="B539" s="4">
        <v>122</v>
      </c>
      <c r="C539" s="5">
        <v>6.92</v>
      </c>
      <c r="D539" s="4">
        <v>88</v>
      </c>
      <c r="E539" s="5">
        <v>6.71</v>
      </c>
      <c r="F539" s="4">
        <v>34</v>
      </c>
      <c r="G539" s="5">
        <v>7.57</v>
      </c>
      <c r="H539" s="4">
        <v>0</v>
      </c>
    </row>
    <row r="540" spans="1:8" x14ac:dyDescent="0.15">
      <c r="A540" s="2" t="s">
        <v>60</v>
      </c>
      <c r="B540" s="4">
        <v>44</v>
      </c>
      <c r="C540" s="5">
        <v>2.5</v>
      </c>
      <c r="D540" s="4">
        <v>35</v>
      </c>
      <c r="E540" s="5">
        <v>2.67</v>
      </c>
      <c r="F540" s="4">
        <v>9</v>
      </c>
      <c r="G540" s="5">
        <v>2</v>
      </c>
      <c r="H540" s="4">
        <v>0</v>
      </c>
    </row>
    <row r="541" spans="1:8" x14ac:dyDescent="0.15">
      <c r="A541" s="2" t="s">
        <v>61</v>
      </c>
      <c r="B541" s="4">
        <v>200</v>
      </c>
      <c r="C541" s="5">
        <v>11.35</v>
      </c>
      <c r="D541" s="4">
        <v>191</v>
      </c>
      <c r="E541" s="5">
        <v>14.57</v>
      </c>
      <c r="F541" s="4">
        <v>9</v>
      </c>
      <c r="G541" s="5">
        <v>2</v>
      </c>
      <c r="H541" s="4">
        <v>0</v>
      </c>
    </row>
    <row r="542" spans="1:8" x14ac:dyDescent="0.15">
      <c r="A542" s="2" t="s">
        <v>62</v>
      </c>
      <c r="B542" s="4">
        <v>183</v>
      </c>
      <c r="C542" s="5">
        <v>10.39</v>
      </c>
      <c r="D542" s="4">
        <v>168</v>
      </c>
      <c r="E542" s="5">
        <v>12.81</v>
      </c>
      <c r="F542" s="4">
        <v>14</v>
      </c>
      <c r="G542" s="5">
        <v>3.12</v>
      </c>
      <c r="H542" s="4">
        <v>1</v>
      </c>
    </row>
    <row r="543" spans="1:8" x14ac:dyDescent="0.15">
      <c r="A543" s="2" t="s">
        <v>63</v>
      </c>
      <c r="B543" s="4">
        <v>61</v>
      </c>
      <c r="C543" s="5">
        <v>3.46</v>
      </c>
      <c r="D543" s="4">
        <v>57</v>
      </c>
      <c r="E543" s="5">
        <v>4.3499999999999996</v>
      </c>
      <c r="F543" s="4">
        <v>4</v>
      </c>
      <c r="G543" s="5">
        <v>0.89</v>
      </c>
      <c r="H543" s="4">
        <v>0</v>
      </c>
    </row>
    <row r="544" spans="1:8" x14ac:dyDescent="0.15">
      <c r="A544" s="2" t="s">
        <v>64</v>
      </c>
      <c r="B544" s="4">
        <v>58</v>
      </c>
      <c r="C544" s="5">
        <v>3.29</v>
      </c>
      <c r="D544" s="4">
        <v>42</v>
      </c>
      <c r="E544" s="5">
        <v>3.2</v>
      </c>
      <c r="F544" s="4">
        <v>16</v>
      </c>
      <c r="G544" s="5">
        <v>3.56</v>
      </c>
      <c r="H544" s="4">
        <v>0</v>
      </c>
    </row>
    <row r="545" spans="1:8" x14ac:dyDescent="0.15">
      <c r="A545" s="2" t="s">
        <v>65</v>
      </c>
      <c r="B545" s="4">
        <v>66</v>
      </c>
      <c r="C545" s="5">
        <v>3.75</v>
      </c>
      <c r="D545" s="4">
        <v>48</v>
      </c>
      <c r="E545" s="5">
        <v>3.66</v>
      </c>
      <c r="F545" s="4">
        <v>18</v>
      </c>
      <c r="G545" s="5">
        <v>4.01</v>
      </c>
      <c r="H545" s="4">
        <v>0</v>
      </c>
    </row>
    <row r="546" spans="1:8" x14ac:dyDescent="0.15">
      <c r="A546" s="1" t="s">
        <v>34</v>
      </c>
      <c r="B546" s="4">
        <v>1003</v>
      </c>
      <c r="C546" s="5">
        <v>100.01</v>
      </c>
      <c r="D546" s="4">
        <v>667</v>
      </c>
      <c r="E546" s="5">
        <v>100.01</v>
      </c>
      <c r="F546" s="4">
        <v>331</v>
      </c>
      <c r="G546" s="5">
        <v>99.989999999999981</v>
      </c>
      <c r="H546" s="4">
        <v>5</v>
      </c>
    </row>
    <row r="547" spans="1:8" x14ac:dyDescent="0.15">
      <c r="A547" s="2" t="s">
        <v>51</v>
      </c>
      <c r="B547" s="4">
        <v>1</v>
      </c>
      <c r="C547" s="5">
        <v>0.1</v>
      </c>
      <c r="D547" s="4">
        <v>0</v>
      </c>
      <c r="E547" s="5">
        <v>0</v>
      </c>
      <c r="F547" s="4">
        <v>1</v>
      </c>
      <c r="G547" s="5">
        <v>0.3</v>
      </c>
      <c r="H547" s="4">
        <v>0</v>
      </c>
    </row>
    <row r="548" spans="1:8" x14ac:dyDescent="0.15">
      <c r="A548" s="2" t="s">
        <v>52</v>
      </c>
      <c r="B548" s="4">
        <v>155</v>
      </c>
      <c r="C548" s="5">
        <v>15.45</v>
      </c>
      <c r="D548" s="4">
        <v>80</v>
      </c>
      <c r="E548" s="5">
        <v>11.99</v>
      </c>
      <c r="F548" s="4">
        <v>75</v>
      </c>
      <c r="G548" s="5">
        <v>22.66</v>
      </c>
      <c r="H548" s="4">
        <v>0</v>
      </c>
    </row>
    <row r="549" spans="1:8" x14ac:dyDescent="0.15">
      <c r="A549" s="2" t="s">
        <v>53</v>
      </c>
      <c r="B549" s="4">
        <v>95</v>
      </c>
      <c r="C549" s="5">
        <v>9.4700000000000006</v>
      </c>
      <c r="D549" s="4">
        <v>41</v>
      </c>
      <c r="E549" s="5">
        <v>6.15</v>
      </c>
      <c r="F549" s="4">
        <v>52</v>
      </c>
      <c r="G549" s="5">
        <v>15.71</v>
      </c>
      <c r="H549" s="4">
        <v>2</v>
      </c>
    </row>
    <row r="550" spans="1:8" x14ac:dyDescent="0.15">
      <c r="A550" s="2" t="s">
        <v>54</v>
      </c>
      <c r="B550" s="4">
        <v>0</v>
      </c>
      <c r="C550" s="5">
        <v>0</v>
      </c>
      <c r="D550" s="4">
        <v>0</v>
      </c>
      <c r="E550" s="5">
        <v>0</v>
      </c>
      <c r="F550" s="4">
        <v>0</v>
      </c>
      <c r="G550" s="5">
        <v>0</v>
      </c>
      <c r="H550" s="4">
        <v>0</v>
      </c>
    </row>
    <row r="551" spans="1:8" x14ac:dyDescent="0.15">
      <c r="A551" s="2" t="s">
        <v>55</v>
      </c>
      <c r="B551" s="4">
        <v>7</v>
      </c>
      <c r="C551" s="5">
        <v>0.7</v>
      </c>
      <c r="D551" s="4">
        <v>1</v>
      </c>
      <c r="E551" s="5">
        <v>0.15</v>
      </c>
      <c r="F551" s="4">
        <v>6</v>
      </c>
      <c r="G551" s="5">
        <v>1.81</v>
      </c>
      <c r="H551" s="4">
        <v>0</v>
      </c>
    </row>
    <row r="552" spans="1:8" x14ac:dyDescent="0.15">
      <c r="A552" s="2" t="s">
        <v>56</v>
      </c>
      <c r="B552" s="4">
        <v>10</v>
      </c>
      <c r="C552" s="5">
        <v>1</v>
      </c>
      <c r="D552" s="4">
        <v>2</v>
      </c>
      <c r="E552" s="5">
        <v>0.3</v>
      </c>
      <c r="F552" s="4">
        <v>8</v>
      </c>
      <c r="G552" s="5">
        <v>2.42</v>
      </c>
      <c r="H552" s="4">
        <v>0</v>
      </c>
    </row>
    <row r="553" spans="1:8" x14ac:dyDescent="0.15">
      <c r="A553" s="2" t="s">
        <v>57</v>
      </c>
      <c r="B553" s="4">
        <v>283</v>
      </c>
      <c r="C553" s="5">
        <v>28.22</v>
      </c>
      <c r="D553" s="4">
        <v>185</v>
      </c>
      <c r="E553" s="5">
        <v>27.74</v>
      </c>
      <c r="F553" s="4">
        <v>98</v>
      </c>
      <c r="G553" s="5">
        <v>29.61</v>
      </c>
      <c r="H553" s="4">
        <v>0</v>
      </c>
    </row>
    <row r="554" spans="1:8" x14ac:dyDescent="0.15">
      <c r="A554" s="2" t="s">
        <v>58</v>
      </c>
      <c r="B554" s="4">
        <v>5</v>
      </c>
      <c r="C554" s="5">
        <v>0.5</v>
      </c>
      <c r="D554" s="4">
        <v>3</v>
      </c>
      <c r="E554" s="5">
        <v>0.45</v>
      </c>
      <c r="F554" s="4">
        <v>2</v>
      </c>
      <c r="G554" s="5">
        <v>0.6</v>
      </c>
      <c r="H554" s="4">
        <v>0</v>
      </c>
    </row>
    <row r="555" spans="1:8" x14ac:dyDescent="0.15">
      <c r="A555" s="2" t="s">
        <v>59</v>
      </c>
      <c r="B555" s="4">
        <v>71</v>
      </c>
      <c r="C555" s="5">
        <v>7.08</v>
      </c>
      <c r="D555" s="4">
        <v>51</v>
      </c>
      <c r="E555" s="5">
        <v>7.65</v>
      </c>
      <c r="F555" s="4">
        <v>19</v>
      </c>
      <c r="G555" s="5">
        <v>5.74</v>
      </c>
      <c r="H555" s="4">
        <v>1</v>
      </c>
    </row>
    <row r="556" spans="1:8" x14ac:dyDescent="0.15">
      <c r="A556" s="2" t="s">
        <v>60</v>
      </c>
      <c r="B556" s="4">
        <v>40</v>
      </c>
      <c r="C556" s="5">
        <v>3.99</v>
      </c>
      <c r="D556" s="4">
        <v>21</v>
      </c>
      <c r="E556" s="5">
        <v>3.15</v>
      </c>
      <c r="F556" s="4">
        <v>19</v>
      </c>
      <c r="G556" s="5">
        <v>5.74</v>
      </c>
      <c r="H556" s="4">
        <v>0</v>
      </c>
    </row>
    <row r="557" spans="1:8" x14ac:dyDescent="0.15">
      <c r="A557" s="2" t="s">
        <v>61</v>
      </c>
      <c r="B557" s="4">
        <v>109</v>
      </c>
      <c r="C557" s="5">
        <v>10.87</v>
      </c>
      <c r="D557" s="4">
        <v>97</v>
      </c>
      <c r="E557" s="5">
        <v>14.54</v>
      </c>
      <c r="F557" s="4">
        <v>11</v>
      </c>
      <c r="G557" s="5">
        <v>3.32</v>
      </c>
      <c r="H557" s="4">
        <v>1</v>
      </c>
    </row>
    <row r="558" spans="1:8" x14ac:dyDescent="0.15">
      <c r="A558" s="2" t="s">
        <v>62</v>
      </c>
      <c r="B558" s="4">
        <v>126</v>
      </c>
      <c r="C558" s="5">
        <v>12.56</v>
      </c>
      <c r="D558" s="4">
        <v>116</v>
      </c>
      <c r="E558" s="5">
        <v>17.39</v>
      </c>
      <c r="F558" s="4">
        <v>10</v>
      </c>
      <c r="G558" s="5">
        <v>3.02</v>
      </c>
      <c r="H558" s="4">
        <v>0</v>
      </c>
    </row>
    <row r="559" spans="1:8" x14ac:dyDescent="0.15">
      <c r="A559" s="2" t="s">
        <v>63</v>
      </c>
      <c r="B559" s="4">
        <v>43</v>
      </c>
      <c r="C559" s="5">
        <v>4.29</v>
      </c>
      <c r="D559" s="4">
        <v>37</v>
      </c>
      <c r="E559" s="5">
        <v>5.55</v>
      </c>
      <c r="F559" s="4">
        <v>5</v>
      </c>
      <c r="G559" s="5">
        <v>1.51</v>
      </c>
      <c r="H559" s="4">
        <v>1</v>
      </c>
    </row>
    <row r="560" spans="1:8" x14ac:dyDescent="0.15">
      <c r="A560" s="2" t="s">
        <v>64</v>
      </c>
      <c r="B560" s="4">
        <v>31</v>
      </c>
      <c r="C560" s="5">
        <v>3.09</v>
      </c>
      <c r="D560" s="4">
        <v>20</v>
      </c>
      <c r="E560" s="5">
        <v>3</v>
      </c>
      <c r="F560" s="4">
        <v>11</v>
      </c>
      <c r="G560" s="5">
        <v>3.32</v>
      </c>
      <c r="H560" s="4">
        <v>0</v>
      </c>
    </row>
    <row r="561" spans="1:8" x14ac:dyDescent="0.15">
      <c r="A561" s="2" t="s">
        <v>65</v>
      </c>
      <c r="B561" s="4">
        <v>27</v>
      </c>
      <c r="C561" s="5">
        <v>2.69</v>
      </c>
      <c r="D561" s="4">
        <v>13</v>
      </c>
      <c r="E561" s="5">
        <v>1.95</v>
      </c>
      <c r="F561" s="4">
        <v>14</v>
      </c>
      <c r="G561" s="5">
        <v>4.2300000000000004</v>
      </c>
      <c r="H561" s="4">
        <v>0</v>
      </c>
    </row>
    <row r="562" spans="1:8" x14ac:dyDescent="0.15">
      <c r="A562" s="1" t="s">
        <v>35</v>
      </c>
      <c r="B562" s="4">
        <v>1398</v>
      </c>
      <c r="C562" s="5">
        <v>99.990000000000023</v>
      </c>
      <c r="D562" s="4">
        <v>1038</v>
      </c>
      <c r="E562" s="5">
        <v>99.99</v>
      </c>
      <c r="F562" s="4">
        <v>356</v>
      </c>
      <c r="G562" s="5">
        <v>99.990000000000023</v>
      </c>
      <c r="H562" s="4">
        <v>4</v>
      </c>
    </row>
    <row r="563" spans="1:8" x14ac:dyDescent="0.15">
      <c r="A563" s="2" t="s">
        <v>51</v>
      </c>
      <c r="B563" s="4">
        <v>0</v>
      </c>
      <c r="C563" s="5">
        <v>0</v>
      </c>
      <c r="D563" s="4">
        <v>0</v>
      </c>
      <c r="E563" s="5">
        <v>0</v>
      </c>
      <c r="F563" s="4">
        <v>0</v>
      </c>
      <c r="G563" s="5">
        <v>0</v>
      </c>
      <c r="H563" s="4">
        <v>0</v>
      </c>
    </row>
    <row r="564" spans="1:8" x14ac:dyDescent="0.15">
      <c r="A564" s="2" t="s">
        <v>52</v>
      </c>
      <c r="B564" s="4">
        <v>188</v>
      </c>
      <c r="C564" s="5">
        <v>13.45</v>
      </c>
      <c r="D564" s="4">
        <v>111</v>
      </c>
      <c r="E564" s="5">
        <v>10.69</v>
      </c>
      <c r="F564" s="4">
        <v>77</v>
      </c>
      <c r="G564" s="5">
        <v>21.63</v>
      </c>
      <c r="H564" s="4">
        <v>0</v>
      </c>
    </row>
    <row r="565" spans="1:8" x14ac:dyDescent="0.15">
      <c r="A565" s="2" t="s">
        <v>53</v>
      </c>
      <c r="B565" s="4">
        <v>209</v>
      </c>
      <c r="C565" s="5">
        <v>14.95</v>
      </c>
      <c r="D565" s="4">
        <v>151</v>
      </c>
      <c r="E565" s="5">
        <v>14.55</v>
      </c>
      <c r="F565" s="4">
        <v>58</v>
      </c>
      <c r="G565" s="5">
        <v>16.29</v>
      </c>
      <c r="H565" s="4">
        <v>0</v>
      </c>
    </row>
    <row r="566" spans="1:8" x14ac:dyDescent="0.15">
      <c r="A566" s="2" t="s">
        <v>54</v>
      </c>
      <c r="B566" s="4">
        <v>2</v>
      </c>
      <c r="C566" s="5">
        <v>0.14000000000000001</v>
      </c>
      <c r="D566" s="4">
        <v>0</v>
      </c>
      <c r="E566" s="5">
        <v>0</v>
      </c>
      <c r="F566" s="4">
        <v>2</v>
      </c>
      <c r="G566" s="5">
        <v>0.56000000000000005</v>
      </c>
      <c r="H566" s="4">
        <v>0</v>
      </c>
    </row>
    <row r="567" spans="1:8" x14ac:dyDescent="0.15">
      <c r="A567" s="2" t="s">
        <v>55</v>
      </c>
      <c r="B567" s="4">
        <v>2</v>
      </c>
      <c r="C567" s="5">
        <v>0.14000000000000001</v>
      </c>
      <c r="D567" s="4">
        <v>1</v>
      </c>
      <c r="E567" s="5">
        <v>0.1</v>
      </c>
      <c r="F567" s="4">
        <v>1</v>
      </c>
      <c r="G567" s="5">
        <v>0.28000000000000003</v>
      </c>
      <c r="H567" s="4">
        <v>0</v>
      </c>
    </row>
    <row r="568" spans="1:8" x14ac:dyDescent="0.15">
      <c r="A568" s="2" t="s">
        <v>56</v>
      </c>
      <c r="B568" s="4">
        <v>9</v>
      </c>
      <c r="C568" s="5">
        <v>0.64</v>
      </c>
      <c r="D568" s="4">
        <v>2</v>
      </c>
      <c r="E568" s="5">
        <v>0.19</v>
      </c>
      <c r="F568" s="4">
        <v>7</v>
      </c>
      <c r="G568" s="5">
        <v>1.97</v>
      </c>
      <c r="H568" s="4">
        <v>0</v>
      </c>
    </row>
    <row r="569" spans="1:8" x14ac:dyDescent="0.15">
      <c r="A569" s="2" t="s">
        <v>57</v>
      </c>
      <c r="B569" s="4">
        <v>443</v>
      </c>
      <c r="C569" s="5">
        <v>31.69</v>
      </c>
      <c r="D569" s="4">
        <v>329</v>
      </c>
      <c r="E569" s="5">
        <v>31.7</v>
      </c>
      <c r="F569" s="4">
        <v>112</v>
      </c>
      <c r="G569" s="5">
        <v>31.46</v>
      </c>
      <c r="H569" s="4">
        <v>2</v>
      </c>
    </row>
    <row r="570" spans="1:8" x14ac:dyDescent="0.15">
      <c r="A570" s="2" t="s">
        <v>58</v>
      </c>
      <c r="B570" s="4">
        <v>5</v>
      </c>
      <c r="C570" s="5">
        <v>0.36</v>
      </c>
      <c r="D570" s="4">
        <v>2</v>
      </c>
      <c r="E570" s="5">
        <v>0.19</v>
      </c>
      <c r="F570" s="4">
        <v>3</v>
      </c>
      <c r="G570" s="5">
        <v>0.84</v>
      </c>
      <c r="H570" s="4">
        <v>0</v>
      </c>
    </row>
    <row r="571" spans="1:8" x14ac:dyDescent="0.15">
      <c r="A571" s="2" t="s">
        <v>59</v>
      </c>
      <c r="B571" s="4">
        <v>62</v>
      </c>
      <c r="C571" s="5">
        <v>4.43</v>
      </c>
      <c r="D571" s="4">
        <v>40</v>
      </c>
      <c r="E571" s="5">
        <v>3.85</v>
      </c>
      <c r="F571" s="4">
        <v>22</v>
      </c>
      <c r="G571" s="5">
        <v>6.18</v>
      </c>
      <c r="H571" s="4">
        <v>0</v>
      </c>
    </row>
    <row r="572" spans="1:8" x14ac:dyDescent="0.15">
      <c r="A572" s="2" t="s">
        <v>60</v>
      </c>
      <c r="B572" s="4">
        <v>42</v>
      </c>
      <c r="C572" s="5">
        <v>3</v>
      </c>
      <c r="D572" s="4">
        <v>26</v>
      </c>
      <c r="E572" s="5">
        <v>2.5</v>
      </c>
      <c r="F572" s="4">
        <v>16</v>
      </c>
      <c r="G572" s="5">
        <v>4.49</v>
      </c>
      <c r="H572" s="4">
        <v>0</v>
      </c>
    </row>
    <row r="573" spans="1:8" x14ac:dyDescent="0.15">
      <c r="A573" s="2" t="s">
        <v>61</v>
      </c>
      <c r="B573" s="4">
        <v>178</v>
      </c>
      <c r="C573" s="5">
        <v>12.73</v>
      </c>
      <c r="D573" s="4">
        <v>159</v>
      </c>
      <c r="E573" s="5">
        <v>15.32</v>
      </c>
      <c r="F573" s="4">
        <v>18</v>
      </c>
      <c r="G573" s="5">
        <v>5.0599999999999996</v>
      </c>
      <c r="H573" s="4">
        <v>1</v>
      </c>
    </row>
    <row r="574" spans="1:8" x14ac:dyDescent="0.15">
      <c r="A574" s="2" t="s">
        <v>62</v>
      </c>
      <c r="B574" s="4">
        <v>137</v>
      </c>
      <c r="C574" s="5">
        <v>9.8000000000000007</v>
      </c>
      <c r="D574" s="4">
        <v>123</v>
      </c>
      <c r="E574" s="5">
        <v>11.85</v>
      </c>
      <c r="F574" s="4">
        <v>14</v>
      </c>
      <c r="G574" s="5">
        <v>3.93</v>
      </c>
      <c r="H574" s="4">
        <v>0</v>
      </c>
    </row>
    <row r="575" spans="1:8" x14ac:dyDescent="0.15">
      <c r="A575" s="2" t="s">
        <v>63</v>
      </c>
      <c r="B575" s="4">
        <v>44</v>
      </c>
      <c r="C575" s="5">
        <v>3.15</v>
      </c>
      <c r="D575" s="4">
        <v>40</v>
      </c>
      <c r="E575" s="5">
        <v>3.85</v>
      </c>
      <c r="F575" s="4">
        <v>4</v>
      </c>
      <c r="G575" s="5">
        <v>1.1200000000000001</v>
      </c>
      <c r="H575" s="4">
        <v>0</v>
      </c>
    </row>
    <row r="576" spans="1:8" x14ac:dyDescent="0.15">
      <c r="A576" s="2" t="s">
        <v>64</v>
      </c>
      <c r="B576" s="4">
        <v>44</v>
      </c>
      <c r="C576" s="5">
        <v>3.15</v>
      </c>
      <c r="D576" s="4">
        <v>36</v>
      </c>
      <c r="E576" s="5">
        <v>3.47</v>
      </c>
      <c r="F576" s="4">
        <v>8</v>
      </c>
      <c r="G576" s="5">
        <v>2.25</v>
      </c>
      <c r="H576" s="4">
        <v>0</v>
      </c>
    </row>
    <row r="577" spans="1:8" x14ac:dyDescent="0.15">
      <c r="A577" s="2" t="s">
        <v>65</v>
      </c>
      <c r="B577" s="4">
        <v>33</v>
      </c>
      <c r="C577" s="5">
        <v>2.36</v>
      </c>
      <c r="D577" s="4">
        <v>18</v>
      </c>
      <c r="E577" s="5">
        <v>1.73</v>
      </c>
      <c r="F577" s="4">
        <v>14</v>
      </c>
      <c r="G577" s="5">
        <v>3.93</v>
      </c>
      <c r="H577" s="4">
        <v>1</v>
      </c>
    </row>
    <row r="578" spans="1:8" x14ac:dyDescent="0.15">
      <c r="A578" s="1" t="s">
        <v>36</v>
      </c>
      <c r="B578" s="4">
        <v>1584</v>
      </c>
      <c r="C578" s="5">
        <v>100.00999999999999</v>
      </c>
      <c r="D578" s="4">
        <v>1161</v>
      </c>
      <c r="E578" s="5">
        <v>100.00000000000001</v>
      </c>
      <c r="F578" s="4">
        <v>423</v>
      </c>
      <c r="G578" s="5">
        <v>100.02</v>
      </c>
      <c r="H578" s="4">
        <v>0</v>
      </c>
    </row>
    <row r="579" spans="1:8" x14ac:dyDescent="0.15">
      <c r="A579" s="2" t="s">
        <v>51</v>
      </c>
      <c r="B579" s="4">
        <v>0</v>
      </c>
      <c r="C579" s="5">
        <v>0</v>
      </c>
      <c r="D579" s="4">
        <v>0</v>
      </c>
      <c r="E579" s="5">
        <v>0</v>
      </c>
      <c r="F579" s="4">
        <v>0</v>
      </c>
      <c r="G579" s="5">
        <v>0</v>
      </c>
      <c r="H579" s="4">
        <v>0</v>
      </c>
    </row>
    <row r="580" spans="1:8" x14ac:dyDescent="0.15">
      <c r="A580" s="2" t="s">
        <v>52</v>
      </c>
      <c r="B580" s="4">
        <v>325</v>
      </c>
      <c r="C580" s="5">
        <v>20.52</v>
      </c>
      <c r="D580" s="4">
        <v>214</v>
      </c>
      <c r="E580" s="5">
        <v>18.43</v>
      </c>
      <c r="F580" s="4">
        <v>111</v>
      </c>
      <c r="G580" s="5">
        <v>26.24</v>
      </c>
      <c r="H580" s="4">
        <v>0</v>
      </c>
    </row>
    <row r="581" spans="1:8" x14ac:dyDescent="0.15">
      <c r="A581" s="2" t="s">
        <v>53</v>
      </c>
      <c r="B581" s="4">
        <v>406</v>
      </c>
      <c r="C581" s="5">
        <v>25.63</v>
      </c>
      <c r="D581" s="4">
        <v>299</v>
      </c>
      <c r="E581" s="5">
        <v>25.75</v>
      </c>
      <c r="F581" s="4">
        <v>107</v>
      </c>
      <c r="G581" s="5">
        <v>25.3</v>
      </c>
      <c r="H581" s="4">
        <v>0</v>
      </c>
    </row>
    <row r="582" spans="1:8" x14ac:dyDescent="0.15">
      <c r="A582" s="2" t="s">
        <v>54</v>
      </c>
      <c r="B582" s="4">
        <v>1</v>
      </c>
      <c r="C582" s="5">
        <v>0.06</v>
      </c>
      <c r="D582" s="4">
        <v>0</v>
      </c>
      <c r="E582" s="5">
        <v>0</v>
      </c>
      <c r="F582" s="4">
        <v>1</v>
      </c>
      <c r="G582" s="5">
        <v>0.24</v>
      </c>
      <c r="H582" s="4">
        <v>0</v>
      </c>
    </row>
    <row r="583" spans="1:8" x14ac:dyDescent="0.15">
      <c r="A583" s="2" t="s">
        <v>55</v>
      </c>
      <c r="B583" s="4">
        <v>5</v>
      </c>
      <c r="C583" s="5">
        <v>0.32</v>
      </c>
      <c r="D583" s="4">
        <v>1</v>
      </c>
      <c r="E583" s="5">
        <v>0.09</v>
      </c>
      <c r="F583" s="4">
        <v>4</v>
      </c>
      <c r="G583" s="5">
        <v>0.95</v>
      </c>
      <c r="H583" s="4">
        <v>0</v>
      </c>
    </row>
    <row r="584" spans="1:8" x14ac:dyDescent="0.15">
      <c r="A584" s="2" t="s">
        <v>56</v>
      </c>
      <c r="B584" s="4">
        <v>15</v>
      </c>
      <c r="C584" s="5">
        <v>0.95</v>
      </c>
      <c r="D584" s="4">
        <v>8</v>
      </c>
      <c r="E584" s="5">
        <v>0.69</v>
      </c>
      <c r="F584" s="4">
        <v>7</v>
      </c>
      <c r="G584" s="5">
        <v>1.65</v>
      </c>
      <c r="H584" s="4">
        <v>0</v>
      </c>
    </row>
    <row r="585" spans="1:8" x14ac:dyDescent="0.15">
      <c r="A585" s="2" t="s">
        <v>57</v>
      </c>
      <c r="B585" s="4">
        <v>335</v>
      </c>
      <c r="C585" s="5">
        <v>21.15</v>
      </c>
      <c r="D585" s="4">
        <v>233</v>
      </c>
      <c r="E585" s="5">
        <v>20.07</v>
      </c>
      <c r="F585" s="4">
        <v>102</v>
      </c>
      <c r="G585" s="5">
        <v>24.11</v>
      </c>
      <c r="H585" s="4">
        <v>0</v>
      </c>
    </row>
    <row r="586" spans="1:8" x14ac:dyDescent="0.15">
      <c r="A586" s="2" t="s">
        <v>58</v>
      </c>
      <c r="B586" s="4">
        <v>4</v>
      </c>
      <c r="C586" s="5">
        <v>0.25</v>
      </c>
      <c r="D586" s="4">
        <v>1</v>
      </c>
      <c r="E586" s="5">
        <v>0.09</v>
      </c>
      <c r="F586" s="4">
        <v>3</v>
      </c>
      <c r="G586" s="5">
        <v>0.71</v>
      </c>
      <c r="H586" s="4">
        <v>0</v>
      </c>
    </row>
    <row r="587" spans="1:8" x14ac:dyDescent="0.15">
      <c r="A587" s="2" t="s">
        <v>59</v>
      </c>
      <c r="B587" s="4">
        <v>53</v>
      </c>
      <c r="C587" s="5">
        <v>3.35</v>
      </c>
      <c r="D587" s="4">
        <v>41</v>
      </c>
      <c r="E587" s="5">
        <v>3.53</v>
      </c>
      <c r="F587" s="4">
        <v>12</v>
      </c>
      <c r="G587" s="5">
        <v>2.84</v>
      </c>
      <c r="H587" s="4">
        <v>0</v>
      </c>
    </row>
    <row r="588" spans="1:8" x14ac:dyDescent="0.15">
      <c r="A588" s="2" t="s">
        <v>60</v>
      </c>
      <c r="B588" s="4">
        <v>40</v>
      </c>
      <c r="C588" s="5">
        <v>2.5299999999999998</v>
      </c>
      <c r="D588" s="4">
        <v>25</v>
      </c>
      <c r="E588" s="5">
        <v>2.15</v>
      </c>
      <c r="F588" s="4">
        <v>15</v>
      </c>
      <c r="G588" s="5">
        <v>3.55</v>
      </c>
      <c r="H588" s="4">
        <v>0</v>
      </c>
    </row>
    <row r="589" spans="1:8" x14ac:dyDescent="0.15">
      <c r="A589" s="2" t="s">
        <v>61</v>
      </c>
      <c r="B589" s="4">
        <v>109</v>
      </c>
      <c r="C589" s="5">
        <v>6.88</v>
      </c>
      <c r="D589" s="4">
        <v>96</v>
      </c>
      <c r="E589" s="5">
        <v>8.27</v>
      </c>
      <c r="F589" s="4">
        <v>13</v>
      </c>
      <c r="G589" s="5">
        <v>3.07</v>
      </c>
      <c r="H589" s="4">
        <v>0</v>
      </c>
    </row>
    <row r="590" spans="1:8" x14ac:dyDescent="0.15">
      <c r="A590" s="2" t="s">
        <v>62</v>
      </c>
      <c r="B590" s="4">
        <v>149</v>
      </c>
      <c r="C590" s="5">
        <v>9.41</v>
      </c>
      <c r="D590" s="4">
        <v>134</v>
      </c>
      <c r="E590" s="5">
        <v>11.54</v>
      </c>
      <c r="F590" s="4">
        <v>15</v>
      </c>
      <c r="G590" s="5">
        <v>3.55</v>
      </c>
      <c r="H590" s="4">
        <v>0</v>
      </c>
    </row>
    <row r="591" spans="1:8" x14ac:dyDescent="0.15">
      <c r="A591" s="2" t="s">
        <v>63</v>
      </c>
      <c r="B591" s="4">
        <v>59</v>
      </c>
      <c r="C591" s="5">
        <v>3.72</v>
      </c>
      <c r="D591" s="4">
        <v>55</v>
      </c>
      <c r="E591" s="5">
        <v>4.74</v>
      </c>
      <c r="F591" s="4">
        <v>4</v>
      </c>
      <c r="G591" s="5">
        <v>0.95</v>
      </c>
      <c r="H591" s="4">
        <v>0</v>
      </c>
    </row>
    <row r="592" spans="1:8" x14ac:dyDescent="0.15">
      <c r="A592" s="2" t="s">
        <v>64</v>
      </c>
      <c r="B592" s="4">
        <v>46</v>
      </c>
      <c r="C592" s="5">
        <v>2.9</v>
      </c>
      <c r="D592" s="4">
        <v>34</v>
      </c>
      <c r="E592" s="5">
        <v>2.93</v>
      </c>
      <c r="F592" s="4">
        <v>12</v>
      </c>
      <c r="G592" s="5">
        <v>2.84</v>
      </c>
      <c r="H592" s="4">
        <v>0</v>
      </c>
    </row>
    <row r="593" spans="1:8" x14ac:dyDescent="0.15">
      <c r="A593" s="2" t="s">
        <v>65</v>
      </c>
      <c r="B593" s="4">
        <v>37</v>
      </c>
      <c r="C593" s="5">
        <v>2.34</v>
      </c>
      <c r="D593" s="4">
        <v>20</v>
      </c>
      <c r="E593" s="5">
        <v>1.72</v>
      </c>
      <c r="F593" s="4">
        <v>17</v>
      </c>
      <c r="G593" s="5">
        <v>4.0199999999999996</v>
      </c>
      <c r="H593" s="4">
        <v>0</v>
      </c>
    </row>
    <row r="594" spans="1:8" x14ac:dyDescent="0.15">
      <c r="A594" s="1" t="s">
        <v>37</v>
      </c>
      <c r="B594" s="4">
        <v>996</v>
      </c>
      <c r="C594" s="5">
        <v>99.990000000000009</v>
      </c>
      <c r="D594" s="4">
        <v>596</v>
      </c>
      <c r="E594" s="5">
        <v>99.98</v>
      </c>
      <c r="F594" s="4">
        <v>397</v>
      </c>
      <c r="G594" s="5">
        <v>100.01000000000002</v>
      </c>
      <c r="H594" s="4">
        <v>3</v>
      </c>
    </row>
    <row r="595" spans="1:8" x14ac:dyDescent="0.15">
      <c r="A595" s="2" t="s">
        <v>51</v>
      </c>
      <c r="B595" s="4">
        <v>0</v>
      </c>
      <c r="C595" s="5">
        <v>0</v>
      </c>
      <c r="D595" s="4">
        <v>0</v>
      </c>
      <c r="E595" s="5">
        <v>0</v>
      </c>
      <c r="F595" s="4">
        <v>0</v>
      </c>
      <c r="G595" s="5">
        <v>0</v>
      </c>
      <c r="H595" s="4">
        <v>0</v>
      </c>
    </row>
    <row r="596" spans="1:8" x14ac:dyDescent="0.15">
      <c r="A596" s="2" t="s">
        <v>52</v>
      </c>
      <c r="B596" s="4">
        <v>155</v>
      </c>
      <c r="C596" s="5">
        <v>15.56</v>
      </c>
      <c r="D596" s="4">
        <v>85</v>
      </c>
      <c r="E596" s="5">
        <v>14.26</v>
      </c>
      <c r="F596" s="4">
        <v>70</v>
      </c>
      <c r="G596" s="5">
        <v>17.63</v>
      </c>
      <c r="H596" s="4">
        <v>0</v>
      </c>
    </row>
    <row r="597" spans="1:8" x14ac:dyDescent="0.15">
      <c r="A597" s="2" t="s">
        <v>53</v>
      </c>
      <c r="B597" s="4">
        <v>172</v>
      </c>
      <c r="C597" s="5">
        <v>17.27</v>
      </c>
      <c r="D597" s="4">
        <v>84</v>
      </c>
      <c r="E597" s="5">
        <v>14.09</v>
      </c>
      <c r="F597" s="4">
        <v>88</v>
      </c>
      <c r="G597" s="5">
        <v>22.17</v>
      </c>
      <c r="H597" s="4">
        <v>0</v>
      </c>
    </row>
    <row r="598" spans="1:8" x14ac:dyDescent="0.15">
      <c r="A598" s="2" t="s">
        <v>54</v>
      </c>
      <c r="B598" s="4">
        <v>0</v>
      </c>
      <c r="C598" s="5">
        <v>0</v>
      </c>
      <c r="D598" s="4">
        <v>0</v>
      </c>
      <c r="E598" s="5">
        <v>0</v>
      </c>
      <c r="F598" s="4">
        <v>0</v>
      </c>
      <c r="G598" s="5">
        <v>0</v>
      </c>
      <c r="H598" s="4">
        <v>0</v>
      </c>
    </row>
    <row r="599" spans="1:8" x14ac:dyDescent="0.15">
      <c r="A599" s="2" t="s">
        <v>55</v>
      </c>
      <c r="B599" s="4">
        <v>4</v>
      </c>
      <c r="C599" s="5">
        <v>0.4</v>
      </c>
      <c r="D599" s="4">
        <v>0</v>
      </c>
      <c r="E599" s="5">
        <v>0</v>
      </c>
      <c r="F599" s="4">
        <v>4</v>
      </c>
      <c r="G599" s="5">
        <v>1.01</v>
      </c>
      <c r="H599" s="4">
        <v>0</v>
      </c>
    </row>
    <row r="600" spans="1:8" x14ac:dyDescent="0.15">
      <c r="A600" s="2" t="s">
        <v>56</v>
      </c>
      <c r="B600" s="4">
        <v>11</v>
      </c>
      <c r="C600" s="5">
        <v>1.1000000000000001</v>
      </c>
      <c r="D600" s="4">
        <v>3</v>
      </c>
      <c r="E600" s="5">
        <v>0.5</v>
      </c>
      <c r="F600" s="4">
        <v>8</v>
      </c>
      <c r="G600" s="5">
        <v>2.02</v>
      </c>
      <c r="H600" s="4">
        <v>0</v>
      </c>
    </row>
    <row r="601" spans="1:8" x14ac:dyDescent="0.15">
      <c r="A601" s="2" t="s">
        <v>57</v>
      </c>
      <c r="B601" s="4">
        <v>259</v>
      </c>
      <c r="C601" s="5">
        <v>26</v>
      </c>
      <c r="D601" s="4">
        <v>144</v>
      </c>
      <c r="E601" s="5">
        <v>24.16</v>
      </c>
      <c r="F601" s="4">
        <v>115</v>
      </c>
      <c r="G601" s="5">
        <v>28.97</v>
      </c>
      <c r="H601" s="4">
        <v>0</v>
      </c>
    </row>
    <row r="602" spans="1:8" x14ac:dyDescent="0.15">
      <c r="A602" s="2" t="s">
        <v>58</v>
      </c>
      <c r="B602" s="4">
        <v>4</v>
      </c>
      <c r="C602" s="5">
        <v>0.4</v>
      </c>
      <c r="D602" s="4">
        <v>1</v>
      </c>
      <c r="E602" s="5">
        <v>0.17</v>
      </c>
      <c r="F602" s="4">
        <v>3</v>
      </c>
      <c r="G602" s="5">
        <v>0.76</v>
      </c>
      <c r="H602" s="4">
        <v>0</v>
      </c>
    </row>
    <row r="603" spans="1:8" x14ac:dyDescent="0.15">
      <c r="A603" s="2" t="s">
        <v>59</v>
      </c>
      <c r="B603" s="4">
        <v>51</v>
      </c>
      <c r="C603" s="5">
        <v>5.12</v>
      </c>
      <c r="D603" s="4">
        <v>26</v>
      </c>
      <c r="E603" s="5">
        <v>4.3600000000000003</v>
      </c>
      <c r="F603" s="4">
        <v>25</v>
      </c>
      <c r="G603" s="5">
        <v>6.3</v>
      </c>
      <c r="H603" s="4">
        <v>0</v>
      </c>
    </row>
    <row r="604" spans="1:8" x14ac:dyDescent="0.15">
      <c r="A604" s="2" t="s">
        <v>60</v>
      </c>
      <c r="B604" s="4">
        <v>41</v>
      </c>
      <c r="C604" s="5">
        <v>4.12</v>
      </c>
      <c r="D604" s="4">
        <v>26</v>
      </c>
      <c r="E604" s="5">
        <v>4.3600000000000003</v>
      </c>
      <c r="F604" s="4">
        <v>15</v>
      </c>
      <c r="G604" s="5">
        <v>3.78</v>
      </c>
      <c r="H604" s="4">
        <v>0</v>
      </c>
    </row>
    <row r="605" spans="1:8" x14ac:dyDescent="0.15">
      <c r="A605" s="2" t="s">
        <v>61</v>
      </c>
      <c r="B605" s="4">
        <v>120</v>
      </c>
      <c r="C605" s="5">
        <v>12.05</v>
      </c>
      <c r="D605" s="4">
        <v>103</v>
      </c>
      <c r="E605" s="5">
        <v>17.28</v>
      </c>
      <c r="F605" s="4">
        <v>17</v>
      </c>
      <c r="G605" s="5">
        <v>4.28</v>
      </c>
      <c r="H605" s="4">
        <v>0</v>
      </c>
    </row>
    <row r="606" spans="1:8" x14ac:dyDescent="0.15">
      <c r="A606" s="2" t="s">
        <v>62</v>
      </c>
      <c r="B606" s="4">
        <v>95</v>
      </c>
      <c r="C606" s="5">
        <v>9.5399999999999991</v>
      </c>
      <c r="D606" s="4">
        <v>72</v>
      </c>
      <c r="E606" s="5">
        <v>12.08</v>
      </c>
      <c r="F606" s="4">
        <v>23</v>
      </c>
      <c r="G606" s="5">
        <v>5.79</v>
      </c>
      <c r="H606" s="4">
        <v>0</v>
      </c>
    </row>
    <row r="607" spans="1:8" x14ac:dyDescent="0.15">
      <c r="A607" s="2" t="s">
        <v>63</v>
      </c>
      <c r="B607" s="4">
        <v>25</v>
      </c>
      <c r="C607" s="5">
        <v>2.5099999999999998</v>
      </c>
      <c r="D607" s="4">
        <v>16</v>
      </c>
      <c r="E607" s="5">
        <v>2.68</v>
      </c>
      <c r="F607" s="4">
        <v>7</v>
      </c>
      <c r="G607" s="5">
        <v>1.76</v>
      </c>
      <c r="H607" s="4">
        <v>2</v>
      </c>
    </row>
    <row r="608" spans="1:8" x14ac:dyDescent="0.15">
      <c r="A608" s="2" t="s">
        <v>64</v>
      </c>
      <c r="B608" s="4">
        <v>25</v>
      </c>
      <c r="C608" s="5">
        <v>2.5099999999999998</v>
      </c>
      <c r="D608" s="4">
        <v>19</v>
      </c>
      <c r="E608" s="5">
        <v>3.19</v>
      </c>
      <c r="F608" s="4">
        <v>6</v>
      </c>
      <c r="G608" s="5">
        <v>1.51</v>
      </c>
      <c r="H608" s="4">
        <v>0</v>
      </c>
    </row>
    <row r="609" spans="1:8" x14ac:dyDescent="0.15">
      <c r="A609" s="2" t="s">
        <v>65</v>
      </c>
      <c r="B609" s="4">
        <v>34</v>
      </c>
      <c r="C609" s="5">
        <v>3.41</v>
      </c>
      <c r="D609" s="4">
        <v>17</v>
      </c>
      <c r="E609" s="5">
        <v>2.85</v>
      </c>
      <c r="F609" s="4">
        <v>16</v>
      </c>
      <c r="G609" s="5">
        <v>4.03</v>
      </c>
      <c r="H609" s="4">
        <v>1</v>
      </c>
    </row>
    <row r="610" spans="1:8" x14ac:dyDescent="0.15">
      <c r="A610" s="1" t="s">
        <v>38</v>
      </c>
      <c r="B610" s="4">
        <v>2000</v>
      </c>
      <c r="C610" s="5">
        <v>99.999999999999986</v>
      </c>
      <c r="D610" s="4">
        <v>1318</v>
      </c>
      <c r="E610" s="5">
        <v>100.01000000000002</v>
      </c>
      <c r="F610" s="4">
        <v>673</v>
      </c>
      <c r="G610" s="5">
        <v>100.00999999999999</v>
      </c>
      <c r="H610" s="4">
        <v>9</v>
      </c>
    </row>
    <row r="611" spans="1:8" x14ac:dyDescent="0.15">
      <c r="A611" s="2" t="s">
        <v>51</v>
      </c>
      <c r="B611" s="4">
        <v>0</v>
      </c>
      <c r="C611" s="5">
        <v>0</v>
      </c>
      <c r="D611" s="4">
        <v>0</v>
      </c>
      <c r="E611" s="5">
        <v>0</v>
      </c>
      <c r="F611" s="4">
        <v>0</v>
      </c>
      <c r="G611" s="5">
        <v>0</v>
      </c>
      <c r="H611" s="4">
        <v>0</v>
      </c>
    </row>
    <row r="612" spans="1:8" x14ac:dyDescent="0.15">
      <c r="A612" s="2" t="s">
        <v>52</v>
      </c>
      <c r="B612" s="4">
        <v>307</v>
      </c>
      <c r="C612" s="5">
        <v>15.35</v>
      </c>
      <c r="D612" s="4">
        <v>157</v>
      </c>
      <c r="E612" s="5">
        <v>11.91</v>
      </c>
      <c r="F612" s="4">
        <v>150</v>
      </c>
      <c r="G612" s="5">
        <v>22.29</v>
      </c>
      <c r="H612" s="4">
        <v>0</v>
      </c>
    </row>
    <row r="613" spans="1:8" x14ac:dyDescent="0.15">
      <c r="A613" s="2" t="s">
        <v>53</v>
      </c>
      <c r="B613" s="4">
        <v>429</v>
      </c>
      <c r="C613" s="5">
        <v>21.45</v>
      </c>
      <c r="D613" s="4">
        <v>311</v>
      </c>
      <c r="E613" s="5">
        <v>23.6</v>
      </c>
      <c r="F613" s="4">
        <v>118</v>
      </c>
      <c r="G613" s="5">
        <v>17.53</v>
      </c>
      <c r="H613" s="4">
        <v>0</v>
      </c>
    </row>
    <row r="614" spans="1:8" x14ac:dyDescent="0.15">
      <c r="A614" s="2" t="s">
        <v>54</v>
      </c>
      <c r="B614" s="4">
        <v>0</v>
      </c>
      <c r="C614" s="5">
        <v>0</v>
      </c>
      <c r="D614" s="4">
        <v>0</v>
      </c>
      <c r="E614" s="5">
        <v>0</v>
      </c>
      <c r="F614" s="4">
        <v>0</v>
      </c>
      <c r="G614" s="5">
        <v>0</v>
      </c>
      <c r="H614" s="4">
        <v>0</v>
      </c>
    </row>
    <row r="615" spans="1:8" x14ac:dyDescent="0.15">
      <c r="A615" s="2" t="s">
        <v>55</v>
      </c>
      <c r="B615" s="4">
        <v>7</v>
      </c>
      <c r="C615" s="5">
        <v>0.35</v>
      </c>
      <c r="D615" s="4">
        <v>1</v>
      </c>
      <c r="E615" s="5">
        <v>0.08</v>
      </c>
      <c r="F615" s="4">
        <v>6</v>
      </c>
      <c r="G615" s="5">
        <v>0.89</v>
      </c>
      <c r="H615" s="4">
        <v>0</v>
      </c>
    </row>
    <row r="616" spans="1:8" x14ac:dyDescent="0.15">
      <c r="A616" s="2" t="s">
        <v>56</v>
      </c>
      <c r="B616" s="4">
        <v>27</v>
      </c>
      <c r="C616" s="5">
        <v>1.35</v>
      </c>
      <c r="D616" s="4">
        <v>5</v>
      </c>
      <c r="E616" s="5">
        <v>0.38</v>
      </c>
      <c r="F616" s="4">
        <v>22</v>
      </c>
      <c r="G616" s="5">
        <v>3.27</v>
      </c>
      <c r="H616" s="4">
        <v>0</v>
      </c>
    </row>
    <row r="617" spans="1:8" x14ac:dyDescent="0.15">
      <c r="A617" s="2" t="s">
        <v>57</v>
      </c>
      <c r="B617" s="4">
        <v>522</v>
      </c>
      <c r="C617" s="5">
        <v>26.1</v>
      </c>
      <c r="D617" s="4">
        <v>322</v>
      </c>
      <c r="E617" s="5">
        <v>24.43</v>
      </c>
      <c r="F617" s="4">
        <v>198</v>
      </c>
      <c r="G617" s="5">
        <v>29.42</v>
      </c>
      <c r="H617" s="4">
        <v>2</v>
      </c>
    </row>
    <row r="618" spans="1:8" x14ac:dyDescent="0.15">
      <c r="A618" s="2" t="s">
        <v>58</v>
      </c>
      <c r="B618" s="4">
        <v>17</v>
      </c>
      <c r="C618" s="5">
        <v>0.85</v>
      </c>
      <c r="D618" s="4">
        <v>7</v>
      </c>
      <c r="E618" s="5">
        <v>0.53</v>
      </c>
      <c r="F618" s="4">
        <v>10</v>
      </c>
      <c r="G618" s="5">
        <v>1.49</v>
      </c>
      <c r="H618" s="4">
        <v>0</v>
      </c>
    </row>
    <row r="619" spans="1:8" x14ac:dyDescent="0.15">
      <c r="A619" s="2" t="s">
        <v>59</v>
      </c>
      <c r="B619" s="4">
        <v>97</v>
      </c>
      <c r="C619" s="5">
        <v>4.8499999999999996</v>
      </c>
      <c r="D619" s="4">
        <v>59</v>
      </c>
      <c r="E619" s="5">
        <v>4.4800000000000004</v>
      </c>
      <c r="F619" s="4">
        <v>38</v>
      </c>
      <c r="G619" s="5">
        <v>5.65</v>
      </c>
      <c r="H619" s="4">
        <v>0</v>
      </c>
    </row>
    <row r="620" spans="1:8" x14ac:dyDescent="0.15">
      <c r="A620" s="2" t="s">
        <v>60</v>
      </c>
      <c r="B620" s="4">
        <v>63</v>
      </c>
      <c r="C620" s="5">
        <v>3.15</v>
      </c>
      <c r="D620" s="4">
        <v>43</v>
      </c>
      <c r="E620" s="5">
        <v>3.26</v>
      </c>
      <c r="F620" s="4">
        <v>20</v>
      </c>
      <c r="G620" s="5">
        <v>2.97</v>
      </c>
      <c r="H620" s="4">
        <v>0</v>
      </c>
    </row>
    <row r="621" spans="1:8" x14ac:dyDescent="0.15">
      <c r="A621" s="2" t="s">
        <v>61</v>
      </c>
      <c r="B621" s="4">
        <v>134</v>
      </c>
      <c r="C621" s="5">
        <v>6.7</v>
      </c>
      <c r="D621" s="4">
        <v>115</v>
      </c>
      <c r="E621" s="5">
        <v>8.73</v>
      </c>
      <c r="F621" s="4">
        <v>19</v>
      </c>
      <c r="G621" s="5">
        <v>2.82</v>
      </c>
      <c r="H621" s="4">
        <v>0</v>
      </c>
    </row>
    <row r="622" spans="1:8" x14ac:dyDescent="0.15">
      <c r="A622" s="2" t="s">
        <v>62</v>
      </c>
      <c r="B622" s="4">
        <v>199</v>
      </c>
      <c r="C622" s="5">
        <v>9.9499999999999993</v>
      </c>
      <c r="D622" s="4">
        <v>162</v>
      </c>
      <c r="E622" s="5">
        <v>12.29</v>
      </c>
      <c r="F622" s="4">
        <v>37</v>
      </c>
      <c r="G622" s="5">
        <v>5.5</v>
      </c>
      <c r="H622" s="4">
        <v>0</v>
      </c>
    </row>
    <row r="623" spans="1:8" x14ac:dyDescent="0.15">
      <c r="A623" s="2" t="s">
        <v>63</v>
      </c>
      <c r="B623" s="4">
        <v>97</v>
      </c>
      <c r="C623" s="5">
        <v>4.8499999999999996</v>
      </c>
      <c r="D623" s="4">
        <v>80</v>
      </c>
      <c r="E623" s="5">
        <v>6.07</v>
      </c>
      <c r="F623" s="4">
        <v>16</v>
      </c>
      <c r="G623" s="5">
        <v>2.38</v>
      </c>
      <c r="H623" s="4">
        <v>1</v>
      </c>
    </row>
    <row r="624" spans="1:8" x14ac:dyDescent="0.15">
      <c r="A624" s="2" t="s">
        <v>64</v>
      </c>
      <c r="B624" s="4">
        <v>57</v>
      </c>
      <c r="C624" s="5">
        <v>2.85</v>
      </c>
      <c r="D624" s="4">
        <v>33</v>
      </c>
      <c r="E624" s="5">
        <v>2.5</v>
      </c>
      <c r="F624" s="4">
        <v>23</v>
      </c>
      <c r="G624" s="5">
        <v>3.42</v>
      </c>
      <c r="H624" s="4">
        <v>1</v>
      </c>
    </row>
    <row r="625" spans="1:8" x14ac:dyDescent="0.15">
      <c r="A625" s="2" t="s">
        <v>65</v>
      </c>
      <c r="B625" s="4">
        <v>44</v>
      </c>
      <c r="C625" s="5">
        <v>2.2000000000000002</v>
      </c>
      <c r="D625" s="4">
        <v>23</v>
      </c>
      <c r="E625" s="5">
        <v>1.75</v>
      </c>
      <c r="F625" s="4">
        <v>16</v>
      </c>
      <c r="G625" s="5">
        <v>2.38</v>
      </c>
      <c r="H625" s="4">
        <v>5</v>
      </c>
    </row>
    <row r="626" spans="1:8" x14ac:dyDescent="0.15">
      <c r="A626" s="1" t="s">
        <v>39</v>
      </c>
      <c r="B626" s="4">
        <v>285</v>
      </c>
      <c r="C626" s="5">
        <v>99.990000000000009</v>
      </c>
      <c r="D626" s="4">
        <v>142</v>
      </c>
      <c r="E626" s="5">
        <v>99.999999999999986</v>
      </c>
      <c r="F626" s="4">
        <v>143</v>
      </c>
      <c r="G626" s="5">
        <v>100.02</v>
      </c>
      <c r="H626" s="4">
        <v>0</v>
      </c>
    </row>
    <row r="627" spans="1:8" x14ac:dyDescent="0.15">
      <c r="A627" s="2" t="s">
        <v>51</v>
      </c>
      <c r="B627" s="4">
        <v>0</v>
      </c>
      <c r="C627" s="5">
        <v>0</v>
      </c>
      <c r="D627" s="4">
        <v>0</v>
      </c>
      <c r="E627" s="5">
        <v>0</v>
      </c>
      <c r="F627" s="4">
        <v>0</v>
      </c>
      <c r="G627" s="5">
        <v>0</v>
      </c>
      <c r="H627" s="4">
        <v>0</v>
      </c>
    </row>
    <row r="628" spans="1:8" x14ac:dyDescent="0.15">
      <c r="A628" s="2" t="s">
        <v>52</v>
      </c>
      <c r="B628" s="4">
        <v>71</v>
      </c>
      <c r="C628" s="5">
        <v>24.91</v>
      </c>
      <c r="D628" s="4">
        <v>28</v>
      </c>
      <c r="E628" s="5">
        <v>19.72</v>
      </c>
      <c r="F628" s="4">
        <v>43</v>
      </c>
      <c r="G628" s="5">
        <v>30.07</v>
      </c>
      <c r="H628" s="4">
        <v>0</v>
      </c>
    </row>
    <row r="629" spans="1:8" x14ac:dyDescent="0.15">
      <c r="A629" s="2" t="s">
        <v>53</v>
      </c>
      <c r="B629" s="4">
        <v>18</v>
      </c>
      <c r="C629" s="5">
        <v>6.32</v>
      </c>
      <c r="D629" s="4">
        <v>7</v>
      </c>
      <c r="E629" s="5">
        <v>4.93</v>
      </c>
      <c r="F629" s="4">
        <v>11</v>
      </c>
      <c r="G629" s="5">
        <v>7.69</v>
      </c>
      <c r="H629" s="4">
        <v>0</v>
      </c>
    </row>
    <row r="630" spans="1:8" x14ac:dyDescent="0.15">
      <c r="A630" s="2" t="s">
        <v>54</v>
      </c>
      <c r="B630" s="4">
        <v>0</v>
      </c>
      <c r="C630" s="5">
        <v>0</v>
      </c>
      <c r="D630" s="4">
        <v>0</v>
      </c>
      <c r="E630" s="5">
        <v>0</v>
      </c>
      <c r="F630" s="4">
        <v>0</v>
      </c>
      <c r="G630" s="5">
        <v>0</v>
      </c>
      <c r="H630" s="4">
        <v>0</v>
      </c>
    </row>
    <row r="631" spans="1:8" x14ac:dyDescent="0.15">
      <c r="A631" s="2" t="s">
        <v>55</v>
      </c>
      <c r="B631" s="4">
        <v>3</v>
      </c>
      <c r="C631" s="5">
        <v>1.05</v>
      </c>
      <c r="D631" s="4">
        <v>0</v>
      </c>
      <c r="E631" s="5">
        <v>0</v>
      </c>
      <c r="F631" s="4">
        <v>3</v>
      </c>
      <c r="G631" s="5">
        <v>2.1</v>
      </c>
      <c r="H631" s="4">
        <v>0</v>
      </c>
    </row>
    <row r="632" spans="1:8" x14ac:dyDescent="0.15">
      <c r="A632" s="2" t="s">
        <v>56</v>
      </c>
      <c r="B632" s="4">
        <v>1</v>
      </c>
      <c r="C632" s="5">
        <v>0.35</v>
      </c>
      <c r="D632" s="4">
        <v>0</v>
      </c>
      <c r="E632" s="5">
        <v>0</v>
      </c>
      <c r="F632" s="4">
        <v>1</v>
      </c>
      <c r="G632" s="5">
        <v>0.7</v>
      </c>
      <c r="H632" s="4">
        <v>0</v>
      </c>
    </row>
    <row r="633" spans="1:8" x14ac:dyDescent="0.15">
      <c r="A633" s="2" t="s">
        <v>57</v>
      </c>
      <c r="B633" s="4">
        <v>60</v>
      </c>
      <c r="C633" s="5">
        <v>21.05</v>
      </c>
      <c r="D633" s="4">
        <v>27</v>
      </c>
      <c r="E633" s="5">
        <v>19.010000000000002</v>
      </c>
      <c r="F633" s="4">
        <v>33</v>
      </c>
      <c r="G633" s="5">
        <v>23.08</v>
      </c>
      <c r="H633" s="4">
        <v>0</v>
      </c>
    </row>
    <row r="634" spans="1:8" x14ac:dyDescent="0.15">
      <c r="A634" s="2" t="s">
        <v>58</v>
      </c>
      <c r="B634" s="4">
        <v>4</v>
      </c>
      <c r="C634" s="5">
        <v>1.4</v>
      </c>
      <c r="D634" s="4">
        <v>0</v>
      </c>
      <c r="E634" s="5">
        <v>0</v>
      </c>
      <c r="F634" s="4">
        <v>4</v>
      </c>
      <c r="G634" s="5">
        <v>2.8</v>
      </c>
      <c r="H634" s="4">
        <v>0</v>
      </c>
    </row>
    <row r="635" spans="1:8" x14ac:dyDescent="0.15">
      <c r="A635" s="2" t="s">
        <v>59</v>
      </c>
      <c r="B635" s="4">
        <v>8</v>
      </c>
      <c r="C635" s="5">
        <v>2.81</v>
      </c>
      <c r="D635" s="4">
        <v>2</v>
      </c>
      <c r="E635" s="5">
        <v>1.41</v>
      </c>
      <c r="F635" s="4">
        <v>6</v>
      </c>
      <c r="G635" s="5">
        <v>4.2</v>
      </c>
      <c r="H635" s="4">
        <v>0</v>
      </c>
    </row>
    <row r="636" spans="1:8" x14ac:dyDescent="0.15">
      <c r="A636" s="2" t="s">
        <v>60</v>
      </c>
      <c r="B636" s="4">
        <v>20</v>
      </c>
      <c r="C636" s="5">
        <v>7.02</v>
      </c>
      <c r="D636" s="4">
        <v>10</v>
      </c>
      <c r="E636" s="5">
        <v>7.04</v>
      </c>
      <c r="F636" s="4">
        <v>10</v>
      </c>
      <c r="G636" s="5">
        <v>6.99</v>
      </c>
      <c r="H636" s="4">
        <v>0</v>
      </c>
    </row>
    <row r="637" spans="1:8" x14ac:dyDescent="0.15">
      <c r="A637" s="2" t="s">
        <v>61</v>
      </c>
      <c r="B637" s="4">
        <v>27</v>
      </c>
      <c r="C637" s="5">
        <v>9.4700000000000006</v>
      </c>
      <c r="D637" s="4">
        <v>23</v>
      </c>
      <c r="E637" s="5">
        <v>16.2</v>
      </c>
      <c r="F637" s="4">
        <v>4</v>
      </c>
      <c r="G637" s="5">
        <v>2.8</v>
      </c>
      <c r="H637" s="4">
        <v>0</v>
      </c>
    </row>
    <row r="638" spans="1:8" x14ac:dyDescent="0.15">
      <c r="A638" s="2" t="s">
        <v>62</v>
      </c>
      <c r="B638" s="4">
        <v>37</v>
      </c>
      <c r="C638" s="5">
        <v>12.98</v>
      </c>
      <c r="D638" s="4">
        <v>24</v>
      </c>
      <c r="E638" s="5">
        <v>16.899999999999999</v>
      </c>
      <c r="F638" s="4">
        <v>13</v>
      </c>
      <c r="G638" s="5">
        <v>9.09</v>
      </c>
      <c r="H638" s="4">
        <v>0</v>
      </c>
    </row>
    <row r="639" spans="1:8" x14ac:dyDescent="0.15">
      <c r="A639" s="2" t="s">
        <v>63</v>
      </c>
      <c r="B639" s="4">
        <v>13</v>
      </c>
      <c r="C639" s="5">
        <v>4.5599999999999996</v>
      </c>
      <c r="D639" s="4">
        <v>10</v>
      </c>
      <c r="E639" s="5">
        <v>7.04</v>
      </c>
      <c r="F639" s="4">
        <v>3</v>
      </c>
      <c r="G639" s="5">
        <v>2.1</v>
      </c>
      <c r="H639" s="4">
        <v>0</v>
      </c>
    </row>
    <row r="640" spans="1:8" x14ac:dyDescent="0.15">
      <c r="A640" s="2" t="s">
        <v>64</v>
      </c>
      <c r="B640" s="4">
        <v>11</v>
      </c>
      <c r="C640" s="5">
        <v>3.86</v>
      </c>
      <c r="D640" s="4">
        <v>6</v>
      </c>
      <c r="E640" s="5">
        <v>4.2300000000000004</v>
      </c>
      <c r="F640" s="4">
        <v>5</v>
      </c>
      <c r="G640" s="5">
        <v>3.5</v>
      </c>
      <c r="H640" s="4">
        <v>0</v>
      </c>
    </row>
    <row r="641" spans="1:8" x14ac:dyDescent="0.15">
      <c r="A641" s="2" t="s">
        <v>65</v>
      </c>
      <c r="B641" s="4">
        <v>12</v>
      </c>
      <c r="C641" s="5">
        <v>4.21</v>
      </c>
      <c r="D641" s="4">
        <v>5</v>
      </c>
      <c r="E641" s="5">
        <v>3.52</v>
      </c>
      <c r="F641" s="4">
        <v>7</v>
      </c>
      <c r="G641" s="5">
        <v>4.9000000000000004</v>
      </c>
      <c r="H641" s="4">
        <v>0</v>
      </c>
    </row>
    <row r="642" spans="1:8" x14ac:dyDescent="0.15">
      <c r="A642" s="1" t="s">
        <v>40</v>
      </c>
      <c r="B642" s="4">
        <v>839</v>
      </c>
      <c r="C642" s="5">
        <v>100.01</v>
      </c>
      <c r="D642" s="4">
        <v>602</v>
      </c>
      <c r="E642" s="5">
        <v>99.999999999999986</v>
      </c>
      <c r="F642" s="4">
        <v>237</v>
      </c>
      <c r="G642" s="5">
        <v>100.00999999999999</v>
      </c>
      <c r="H642" s="4">
        <v>0</v>
      </c>
    </row>
    <row r="643" spans="1:8" x14ac:dyDescent="0.15">
      <c r="A643" s="2" t="s">
        <v>51</v>
      </c>
      <c r="B643" s="4">
        <v>0</v>
      </c>
      <c r="C643" s="5">
        <v>0</v>
      </c>
      <c r="D643" s="4">
        <v>0</v>
      </c>
      <c r="E643" s="5">
        <v>0</v>
      </c>
      <c r="F643" s="4">
        <v>0</v>
      </c>
      <c r="G643" s="5">
        <v>0</v>
      </c>
      <c r="H643" s="4">
        <v>0</v>
      </c>
    </row>
    <row r="644" spans="1:8" x14ac:dyDescent="0.15">
      <c r="A644" s="2" t="s">
        <v>52</v>
      </c>
      <c r="B644" s="4">
        <v>166</v>
      </c>
      <c r="C644" s="5">
        <v>19.79</v>
      </c>
      <c r="D644" s="4">
        <v>127</v>
      </c>
      <c r="E644" s="5">
        <v>21.1</v>
      </c>
      <c r="F644" s="4">
        <v>39</v>
      </c>
      <c r="G644" s="5">
        <v>16.46</v>
      </c>
      <c r="H644" s="4">
        <v>0</v>
      </c>
    </row>
    <row r="645" spans="1:8" x14ac:dyDescent="0.15">
      <c r="A645" s="2" t="s">
        <v>53</v>
      </c>
      <c r="B645" s="4">
        <v>309</v>
      </c>
      <c r="C645" s="5">
        <v>36.83</v>
      </c>
      <c r="D645" s="4">
        <v>196</v>
      </c>
      <c r="E645" s="5">
        <v>32.56</v>
      </c>
      <c r="F645" s="4">
        <v>113</v>
      </c>
      <c r="G645" s="5">
        <v>47.68</v>
      </c>
      <c r="H645" s="4">
        <v>0</v>
      </c>
    </row>
    <row r="646" spans="1:8" x14ac:dyDescent="0.15">
      <c r="A646" s="2" t="s">
        <v>54</v>
      </c>
      <c r="B646" s="4">
        <v>0</v>
      </c>
      <c r="C646" s="5">
        <v>0</v>
      </c>
      <c r="D646" s="4">
        <v>0</v>
      </c>
      <c r="E646" s="5">
        <v>0</v>
      </c>
      <c r="F646" s="4">
        <v>0</v>
      </c>
      <c r="G646" s="5">
        <v>0</v>
      </c>
      <c r="H646" s="4">
        <v>0</v>
      </c>
    </row>
    <row r="647" spans="1:8" x14ac:dyDescent="0.15">
      <c r="A647" s="2" t="s">
        <v>55</v>
      </c>
      <c r="B647" s="4">
        <v>0</v>
      </c>
      <c r="C647" s="5">
        <v>0</v>
      </c>
      <c r="D647" s="4">
        <v>0</v>
      </c>
      <c r="E647" s="5">
        <v>0</v>
      </c>
      <c r="F647" s="4">
        <v>0</v>
      </c>
      <c r="G647" s="5">
        <v>0</v>
      </c>
      <c r="H647" s="4">
        <v>0</v>
      </c>
    </row>
    <row r="648" spans="1:8" x14ac:dyDescent="0.15">
      <c r="A648" s="2" t="s">
        <v>56</v>
      </c>
      <c r="B648" s="4">
        <v>9</v>
      </c>
      <c r="C648" s="5">
        <v>1.07</v>
      </c>
      <c r="D648" s="4">
        <v>5</v>
      </c>
      <c r="E648" s="5">
        <v>0.83</v>
      </c>
      <c r="F648" s="4">
        <v>4</v>
      </c>
      <c r="G648" s="5">
        <v>1.69</v>
      </c>
      <c r="H648" s="4">
        <v>0</v>
      </c>
    </row>
    <row r="649" spans="1:8" x14ac:dyDescent="0.15">
      <c r="A649" s="2" t="s">
        <v>57</v>
      </c>
      <c r="B649" s="4">
        <v>152</v>
      </c>
      <c r="C649" s="5">
        <v>18.12</v>
      </c>
      <c r="D649" s="4">
        <v>105</v>
      </c>
      <c r="E649" s="5">
        <v>17.440000000000001</v>
      </c>
      <c r="F649" s="4">
        <v>47</v>
      </c>
      <c r="G649" s="5">
        <v>19.829999999999998</v>
      </c>
      <c r="H649" s="4">
        <v>0</v>
      </c>
    </row>
    <row r="650" spans="1:8" x14ac:dyDescent="0.15">
      <c r="A650" s="2" t="s">
        <v>58</v>
      </c>
      <c r="B650" s="4">
        <v>5</v>
      </c>
      <c r="C650" s="5">
        <v>0.6</v>
      </c>
      <c r="D650" s="4">
        <v>1</v>
      </c>
      <c r="E650" s="5">
        <v>0.17</v>
      </c>
      <c r="F650" s="4">
        <v>4</v>
      </c>
      <c r="G650" s="5">
        <v>1.69</v>
      </c>
      <c r="H650" s="4">
        <v>0</v>
      </c>
    </row>
    <row r="651" spans="1:8" x14ac:dyDescent="0.15">
      <c r="A651" s="2" t="s">
        <v>59</v>
      </c>
      <c r="B651" s="4">
        <v>8</v>
      </c>
      <c r="C651" s="5">
        <v>0.95</v>
      </c>
      <c r="D651" s="4">
        <v>3</v>
      </c>
      <c r="E651" s="5">
        <v>0.5</v>
      </c>
      <c r="F651" s="4">
        <v>5</v>
      </c>
      <c r="G651" s="5">
        <v>2.11</v>
      </c>
      <c r="H651" s="4">
        <v>0</v>
      </c>
    </row>
    <row r="652" spans="1:8" x14ac:dyDescent="0.15">
      <c r="A652" s="2" t="s">
        <v>60</v>
      </c>
      <c r="B652" s="4">
        <v>28</v>
      </c>
      <c r="C652" s="5">
        <v>3.34</v>
      </c>
      <c r="D652" s="4">
        <v>20</v>
      </c>
      <c r="E652" s="5">
        <v>3.32</v>
      </c>
      <c r="F652" s="4">
        <v>8</v>
      </c>
      <c r="G652" s="5">
        <v>3.38</v>
      </c>
      <c r="H652" s="4">
        <v>0</v>
      </c>
    </row>
    <row r="653" spans="1:8" x14ac:dyDescent="0.15">
      <c r="A653" s="2" t="s">
        <v>61</v>
      </c>
      <c r="B653" s="4">
        <v>52</v>
      </c>
      <c r="C653" s="5">
        <v>6.2</v>
      </c>
      <c r="D653" s="4">
        <v>51</v>
      </c>
      <c r="E653" s="5">
        <v>8.4700000000000006</v>
      </c>
      <c r="F653" s="4">
        <v>1</v>
      </c>
      <c r="G653" s="5">
        <v>0.42</v>
      </c>
      <c r="H653" s="4">
        <v>0</v>
      </c>
    </row>
    <row r="654" spans="1:8" x14ac:dyDescent="0.15">
      <c r="A654" s="2" t="s">
        <v>62</v>
      </c>
      <c r="B654" s="4">
        <v>62</v>
      </c>
      <c r="C654" s="5">
        <v>7.39</v>
      </c>
      <c r="D654" s="4">
        <v>58</v>
      </c>
      <c r="E654" s="5">
        <v>9.6300000000000008</v>
      </c>
      <c r="F654" s="4">
        <v>4</v>
      </c>
      <c r="G654" s="5">
        <v>1.69</v>
      </c>
      <c r="H654" s="4">
        <v>0</v>
      </c>
    </row>
    <row r="655" spans="1:8" x14ac:dyDescent="0.15">
      <c r="A655" s="2" t="s">
        <v>63</v>
      </c>
      <c r="B655" s="4">
        <v>10</v>
      </c>
      <c r="C655" s="5">
        <v>1.19</v>
      </c>
      <c r="D655" s="4">
        <v>9</v>
      </c>
      <c r="E655" s="5">
        <v>1.5</v>
      </c>
      <c r="F655" s="4">
        <v>1</v>
      </c>
      <c r="G655" s="5">
        <v>0.42</v>
      </c>
      <c r="H655" s="4">
        <v>0</v>
      </c>
    </row>
    <row r="656" spans="1:8" x14ac:dyDescent="0.15">
      <c r="A656" s="2" t="s">
        <v>64</v>
      </c>
      <c r="B656" s="4">
        <v>14</v>
      </c>
      <c r="C656" s="5">
        <v>1.67</v>
      </c>
      <c r="D656" s="4">
        <v>10</v>
      </c>
      <c r="E656" s="5">
        <v>1.66</v>
      </c>
      <c r="F656" s="4">
        <v>4</v>
      </c>
      <c r="G656" s="5">
        <v>1.69</v>
      </c>
      <c r="H656" s="4">
        <v>0</v>
      </c>
    </row>
    <row r="657" spans="1:8" x14ac:dyDescent="0.15">
      <c r="A657" s="2" t="s">
        <v>65</v>
      </c>
      <c r="B657" s="4">
        <v>24</v>
      </c>
      <c r="C657" s="5">
        <v>2.86</v>
      </c>
      <c r="D657" s="4">
        <v>17</v>
      </c>
      <c r="E657" s="5">
        <v>2.82</v>
      </c>
      <c r="F657" s="4">
        <v>7</v>
      </c>
      <c r="G657" s="5">
        <v>2.95</v>
      </c>
      <c r="H657" s="4">
        <v>0</v>
      </c>
    </row>
    <row r="658" spans="1:8" x14ac:dyDescent="0.15">
      <c r="A658" s="1" t="s">
        <v>41</v>
      </c>
      <c r="B658" s="4">
        <v>668</v>
      </c>
      <c r="C658" s="5">
        <v>99.989999999999981</v>
      </c>
      <c r="D658" s="4">
        <v>353</v>
      </c>
      <c r="E658" s="5">
        <v>100.00000000000001</v>
      </c>
      <c r="F658" s="4">
        <v>315</v>
      </c>
      <c r="G658" s="5">
        <v>100.00999999999999</v>
      </c>
      <c r="H658" s="4">
        <v>0</v>
      </c>
    </row>
    <row r="659" spans="1:8" x14ac:dyDescent="0.15">
      <c r="A659" s="2" t="s">
        <v>51</v>
      </c>
      <c r="B659" s="4">
        <v>0</v>
      </c>
      <c r="C659" s="5">
        <v>0</v>
      </c>
      <c r="D659" s="4">
        <v>0</v>
      </c>
      <c r="E659" s="5">
        <v>0</v>
      </c>
      <c r="F659" s="4">
        <v>0</v>
      </c>
      <c r="G659" s="5">
        <v>0</v>
      </c>
      <c r="H659" s="4">
        <v>0</v>
      </c>
    </row>
    <row r="660" spans="1:8" x14ac:dyDescent="0.15">
      <c r="A660" s="2" t="s">
        <v>52</v>
      </c>
      <c r="B660" s="4">
        <v>123</v>
      </c>
      <c r="C660" s="5">
        <v>18.41</v>
      </c>
      <c r="D660" s="4">
        <v>47</v>
      </c>
      <c r="E660" s="5">
        <v>13.31</v>
      </c>
      <c r="F660" s="4">
        <v>76</v>
      </c>
      <c r="G660" s="5">
        <v>24.13</v>
      </c>
      <c r="H660" s="4">
        <v>0</v>
      </c>
    </row>
    <row r="661" spans="1:8" x14ac:dyDescent="0.15">
      <c r="A661" s="2" t="s">
        <v>53</v>
      </c>
      <c r="B661" s="4">
        <v>155</v>
      </c>
      <c r="C661" s="5">
        <v>23.2</v>
      </c>
      <c r="D661" s="4">
        <v>54</v>
      </c>
      <c r="E661" s="5">
        <v>15.3</v>
      </c>
      <c r="F661" s="4">
        <v>101</v>
      </c>
      <c r="G661" s="5">
        <v>32.06</v>
      </c>
      <c r="H661" s="4">
        <v>0</v>
      </c>
    </row>
    <row r="662" spans="1:8" x14ac:dyDescent="0.15">
      <c r="A662" s="2" t="s">
        <v>54</v>
      </c>
      <c r="B662" s="4">
        <v>0</v>
      </c>
      <c r="C662" s="5">
        <v>0</v>
      </c>
      <c r="D662" s="4">
        <v>0</v>
      </c>
      <c r="E662" s="5">
        <v>0</v>
      </c>
      <c r="F662" s="4">
        <v>0</v>
      </c>
      <c r="G662" s="5">
        <v>0</v>
      </c>
      <c r="H662" s="4">
        <v>0</v>
      </c>
    </row>
    <row r="663" spans="1:8" x14ac:dyDescent="0.15">
      <c r="A663" s="2" t="s">
        <v>55</v>
      </c>
      <c r="B663" s="4">
        <v>0</v>
      </c>
      <c r="C663" s="5">
        <v>0</v>
      </c>
      <c r="D663" s="4">
        <v>0</v>
      </c>
      <c r="E663" s="5">
        <v>0</v>
      </c>
      <c r="F663" s="4">
        <v>0</v>
      </c>
      <c r="G663" s="5">
        <v>0</v>
      </c>
      <c r="H663" s="4">
        <v>0</v>
      </c>
    </row>
    <row r="664" spans="1:8" x14ac:dyDescent="0.15">
      <c r="A664" s="2" t="s">
        <v>56</v>
      </c>
      <c r="B664" s="4">
        <v>22</v>
      </c>
      <c r="C664" s="5">
        <v>3.29</v>
      </c>
      <c r="D664" s="4">
        <v>1</v>
      </c>
      <c r="E664" s="5">
        <v>0.28000000000000003</v>
      </c>
      <c r="F664" s="4">
        <v>21</v>
      </c>
      <c r="G664" s="5">
        <v>6.67</v>
      </c>
      <c r="H664" s="4">
        <v>0</v>
      </c>
    </row>
    <row r="665" spans="1:8" x14ac:dyDescent="0.15">
      <c r="A665" s="2" t="s">
        <v>57</v>
      </c>
      <c r="B665" s="4">
        <v>119</v>
      </c>
      <c r="C665" s="5">
        <v>17.809999999999999</v>
      </c>
      <c r="D665" s="4">
        <v>70</v>
      </c>
      <c r="E665" s="5">
        <v>19.829999999999998</v>
      </c>
      <c r="F665" s="4">
        <v>49</v>
      </c>
      <c r="G665" s="5">
        <v>15.56</v>
      </c>
      <c r="H665" s="4">
        <v>0</v>
      </c>
    </row>
    <row r="666" spans="1:8" x14ac:dyDescent="0.15">
      <c r="A666" s="2" t="s">
        <v>58</v>
      </c>
      <c r="B666" s="4">
        <v>0</v>
      </c>
      <c r="C666" s="5">
        <v>0</v>
      </c>
      <c r="D666" s="4">
        <v>0</v>
      </c>
      <c r="E666" s="5">
        <v>0</v>
      </c>
      <c r="F666" s="4">
        <v>0</v>
      </c>
      <c r="G666" s="5">
        <v>0</v>
      </c>
      <c r="H666" s="4">
        <v>0</v>
      </c>
    </row>
    <row r="667" spans="1:8" x14ac:dyDescent="0.15">
      <c r="A667" s="2" t="s">
        <v>59</v>
      </c>
      <c r="B667" s="4">
        <v>37</v>
      </c>
      <c r="C667" s="5">
        <v>5.54</v>
      </c>
      <c r="D667" s="4">
        <v>19</v>
      </c>
      <c r="E667" s="5">
        <v>5.38</v>
      </c>
      <c r="F667" s="4">
        <v>18</v>
      </c>
      <c r="G667" s="5">
        <v>5.71</v>
      </c>
      <c r="H667" s="4">
        <v>0</v>
      </c>
    </row>
    <row r="668" spans="1:8" x14ac:dyDescent="0.15">
      <c r="A668" s="2" t="s">
        <v>60</v>
      </c>
      <c r="B668" s="4">
        <v>33</v>
      </c>
      <c r="C668" s="5">
        <v>4.9400000000000004</v>
      </c>
      <c r="D668" s="4">
        <v>20</v>
      </c>
      <c r="E668" s="5">
        <v>5.67</v>
      </c>
      <c r="F668" s="4">
        <v>13</v>
      </c>
      <c r="G668" s="5">
        <v>4.13</v>
      </c>
      <c r="H668" s="4">
        <v>0</v>
      </c>
    </row>
    <row r="669" spans="1:8" x14ac:dyDescent="0.15">
      <c r="A669" s="2" t="s">
        <v>61</v>
      </c>
      <c r="B669" s="4">
        <v>50</v>
      </c>
      <c r="C669" s="5">
        <v>7.49</v>
      </c>
      <c r="D669" s="4">
        <v>45</v>
      </c>
      <c r="E669" s="5">
        <v>12.75</v>
      </c>
      <c r="F669" s="4">
        <v>5</v>
      </c>
      <c r="G669" s="5">
        <v>1.59</v>
      </c>
      <c r="H669" s="4">
        <v>0</v>
      </c>
    </row>
    <row r="670" spans="1:8" x14ac:dyDescent="0.15">
      <c r="A670" s="2" t="s">
        <v>62</v>
      </c>
      <c r="B670" s="4">
        <v>58</v>
      </c>
      <c r="C670" s="5">
        <v>8.68</v>
      </c>
      <c r="D670" s="4">
        <v>46</v>
      </c>
      <c r="E670" s="5">
        <v>13.03</v>
      </c>
      <c r="F670" s="4">
        <v>12</v>
      </c>
      <c r="G670" s="5">
        <v>3.81</v>
      </c>
      <c r="H670" s="4">
        <v>0</v>
      </c>
    </row>
    <row r="671" spans="1:8" x14ac:dyDescent="0.15">
      <c r="A671" s="2" t="s">
        <v>63</v>
      </c>
      <c r="B671" s="4">
        <v>25</v>
      </c>
      <c r="C671" s="5">
        <v>3.74</v>
      </c>
      <c r="D671" s="4">
        <v>21</v>
      </c>
      <c r="E671" s="5">
        <v>5.95</v>
      </c>
      <c r="F671" s="4">
        <v>4</v>
      </c>
      <c r="G671" s="5">
        <v>1.27</v>
      </c>
      <c r="H671" s="4">
        <v>0</v>
      </c>
    </row>
    <row r="672" spans="1:8" x14ac:dyDescent="0.15">
      <c r="A672" s="2" t="s">
        <v>64</v>
      </c>
      <c r="B672" s="4">
        <v>13</v>
      </c>
      <c r="C672" s="5">
        <v>1.95</v>
      </c>
      <c r="D672" s="4">
        <v>12</v>
      </c>
      <c r="E672" s="5">
        <v>3.4</v>
      </c>
      <c r="F672" s="4">
        <v>1</v>
      </c>
      <c r="G672" s="5">
        <v>0.32</v>
      </c>
      <c r="H672" s="4">
        <v>0</v>
      </c>
    </row>
    <row r="673" spans="1:8" x14ac:dyDescent="0.15">
      <c r="A673" s="2" t="s">
        <v>65</v>
      </c>
      <c r="B673" s="4">
        <v>33</v>
      </c>
      <c r="C673" s="5">
        <v>4.9400000000000004</v>
      </c>
      <c r="D673" s="4">
        <v>18</v>
      </c>
      <c r="E673" s="5">
        <v>5.0999999999999996</v>
      </c>
      <c r="F673" s="4">
        <v>15</v>
      </c>
      <c r="G673" s="5">
        <v>4.76</v>
      </c>
      <c r="H673" s="4">
        <v>0</v>
      </c>
    </row>
    <row r="674" spans="1:8" x14ac:dyDescent="0.15">
      <c r="A674" s="1" t="s">
        <v>42</v>
      </c>
      <c r="B674" s="4">
        <v>630</v>
      </c>
      <c r="C674" s="5">
        <v>99.990000000000009</v>
      </c>
      <c r="D674" s="4">
        <v>396</v>
      </c>
      <c r="E674" s="5">
        <v>100.02</v>
      </c>
      <c r="F674" s="4">
        <v>228</v>
      </c>
      <c r="G674" s="5">
        <v>99.999999999999986</v>
      </c>
      <c r="H674" s="4">
        <v>6</v>
      </c>
    </row>
    <row r="675" spans="1:8" x14ac:dyDescent="0.15">
      <c r="A675" s="2" t="s">
        <v>51</v>
      </c>
      <c r="B675" s="4">
        <v>0</v>
      </c>
      <c r="C675" s="5">
        <v>0</v>
      </c>
      <c r="D675" s="4">
        <v>0</v>
      </c>
      <c r="E675" s="5">
        <v>0</v>
      </c>
      <c r="F675" s="4">
        <v>0</v>
      </c>
      <c r="G675" s="5">
        <v>0</v>
      </c>
      <c r="H675" s="4">
        <v>0</v>
      </c>
    </row>
    <row r="676" spans="1:8" x14ac:dyDescent="0.15">
      <c r="A676" s="2" t="s">
        <v>52</v>
      </c>
      <c r="B676" s="4">
        <v>84</v>
      </c>
      <c r="C676" s="5">
        <v>13.33</v>
      </c>
      <c r="D676" s="4">
        <v>28</v>
      </c>
      <c r="E676" s="5">
        <v>7.07</v>
      </c>
      <c r="F676" s="4">
        <v>56</v>
      </c>
      <c r="G676" s="5">
        <v>24.56</v>
      </c>
      <c r="H676" s="4">
        <v>0</v>
      </c>
    </row>
    <row r="677" spans="1:8" x14ac:dyDescent="0.15">
      <c r="A677" s="2" t="s">
        <v>53</v>
      </c>
      <c r="B677" s="4">
        <v>49</v>
      </c>
      <c r="C677" s="5">
        <v>7.78</v>
      </c>
      <c r="D677" s="4">
        <v>15</v>
      </c>
      <c r="E677" s="5">
        <v>3.79</v>
      </c>
      <c r="F677" s="4">
        <v>34</v>
      </c>
      <c r="G677" s="5">
        <v>14.91</v>
      </c>
      <c r="H677" s="4">
        <v>0</v>
      </c>
    </row>
    <row r="678" spans="1:8" x14ac:dyDescent="0.15">
      <c r="A678" s="2" t="s">
        <v>54</v>
      </c>
      <c r="B678" s="4">
        <v>0</v>
      </c>
      <c r="C678" s="5">
        <v>0</v>
      </c>
      <c r="D678" s="4">
        <v>0</v>
      </c>
      <c r="E678" s="5">
        <v>0</v>
      </c>
      <c r="F678" s="4">
        <v>0</v>
      </c>
      <c r="G678" s="5">
        <v>0</v>
      </c>
      <c r="H678" s="4">
        <v>0</v>
      </c>
    </row>
    <row r="679" spans="1:8" x14ac:dyDescent="0.15">
      <c r="A679" s="2" t="s">
        <v>55</v>
      </c>
      <c r="B679" s="4">
        <v>1</v>
      </c>
      <c r="C679" s="5">
        <v>0.16</v>
      </c>
      <c r="D679" s="4">
        <v>0</v>
      </c>
      <c r="E679" s="5">
        <v>0</v>
      </c>
      <c r="F679" s="4">
        <v>1</v>
      </c>
      <c r="G679" s="5">
        <v>0.44</v>
      </c>
      <c r="H679" s="4">
        <v>0</v>
      </c>
    </row>
    <row r="680" spans="1:8" x14ac:dyDescent="0.15">
      <c r="A680" s="2" t="s">
        <v>56</v>
      </c>
      <c r="B680" s="4">
        <v>11</v>
      </c>
      <c r="C680" s="5">
        <v>1.75</v>
      </c>
      <c r="D680" s="4">
        <v>2</v>
      </c>
      <c r="E680" s="5">
        <v>0.51</v>
      </c>
      <c r="F680" s="4">
        <v>9</v>
      </c>
      <c r="G680" s="5">
        <v>3.95</v>
      </c>
      <c r="H680" s="4">
        <v>0</v>
      </c>
    </row>
    <row r="681" spans="1:8" x14ac:dyDescent="0.15">
      <c r="A681" s="2" t="s">
        <v>57</v>
      </c>
      <c r="B681" s="4">
        <v>130</v>
      </c>
      <c r="C681" s="5">
        <v>20.63</v>
      </c>
      <c r="D681" s="4">
        <v>78</v>
      </c>
      <c r="E681" s="5">
        <v>19.7</v>
      </c>
      <c r="F681" s="4">
        <v>52</v>
      </c>
      <c r="G681" s="5">
        <v>22.81</v>
      </c>
      <c r="H681" s="4">
        <v>0</v>
      </c>
    </row>
    <row r="682" spans="1:8" x14ac:dyDescent="0.15">
      <c r="A682" s="2" t="s">
        <v>58</v>
      </c>
      <c r="B682" s="4">
        <v>5</v>
      </c>
      <c r="C682" s="5">
        <v>0.79</v>
      </c>
      <c r="D682" s="4">
        <v>2</v>
      </c>
      <c r="E682" s="5">
        <v>0.51</v>
      </c>
      <c r="F682" s="4">
        <v>3</v>
      </c>
      <c r="G682" s="5">
        <v>1.32</v>
      </c>
      <c r="H682" s="4">
        <v>0</v>
      </c>
    </row>
    <row r="683" spans="1:8" x14ac:dyDescent="0.15">
      <c r="A683" s="2" t="s">
        <v>59</v>
      </c>
      <c r="B683" s="4">
        <v>52</v>
      </c>
      <c r="C683" s="5">
        <v>8.25</v>
      </c>
      <c r="D683" s="4">
        <v>25</v>
      </c>
      <c r="E683" s="5">
        <v>6.31</v>
      </c>
      <c r="F683" s="4">
        <v>27</v>
      </c>
      <c r="G683" s="5">
        <v>11.84</v>
      </c>
      <c r="H683" s="4">
        <v>0</v>
      </c>
    </row>
    <row r="684" spans="1:8" x14ac:dyDescent="0.15">
      <c r="A684" s="2" t="s">
        <v>60</v>
      </c>
      <c r="B684" s="4">
        <v>23</v>
      </c>
      <c r="C684" s="5">
        <v>3.65</v>
      </c>
      <c r="D684" s="4">
        <v>18</v>
      </c>
      <c r="E684" s="5">
        <v>4.55</v>
      </c>
      <c r="F684" s="4">
        <v>5</v>
      </c>
      <c r="G684" s="5">
        <v>2.19</v>
      </c>
      <c r="H684" s="4">
        <v>0</v>
      </c>
    </row>
    <row r="685" spans="1:8" x14ac:dyDescent="0.15">
      <c r="A685" s="2" t="s">
        <v>61</v>
      </c>
      <c r="B685" s="4">
        <v>92</v>
      </c>
      <c r="C685" s="5">
        <v>14.6</v>
      </c>
      <c r="D685" s="4">
        <v>84</v>
      </c>
      <c r="E685" s="5">
        <v>21.21</v>
      </c>
      <c r="F685" s="4">
        <v>7</v>
      </c>
      <c r="G685" s="5">
        <v>3.07</v>
      </c>
      <c r="H685" s="4">
        <v>1</v>
      </c>
    </row>
    <row r="686" spans="1:8" x14ac:dyDescent="0.15">
      <c r="A686" s="2" t="s">
        <v>62</v>
      </c>
      <c r="B686" s="4">
        <v>106</v>
      </c>
      <c r="C686" s="5">
        <v>16.829999999999998</v>
      </c>
      <c r="D686" s="4">
        <v>92</v>
      </c>
      <c r="E686" s="5">
        <v>23.23</v>
      </c>
      <c r="F686" s="4">
        <v>12</v>
      </c>
      <c r="G686" s="5">
        <v>5.26</v>
      </c>
      <c r="H686" s="4">
        <v>2</v>
      </c>
    </row>
    <row r="687" spans="1:8" x14ac:dyDescent="0.15">
      <c r="A687" s="2" t="s">
        <v>63</v>
      </c>
      <c r="B687" s="4">
        <v>37</v>
      </c>
      <c r="C687" s="5">
        <v>5.87</v>
      </c>
      <c r="D687" s="4">
        <v>31</v>
      </c>
      <c r="E687" s="5">
        <v>7.83</v>
      </c>
      <c r="F687" s="4">
        <v>6</v>
      </c>
      <c r="G687" s="5">
        <v>2.63</v>
      </c>
      <c r="H687" s="4">
        <v>0</v>
      </c>
    </row>
    <row r="688" spans="1:8" x14ac:dyDescent="0.15">
      <c r="A688" s="2" t="s">
        <v>64</v>
      </c>
      <c r="B688" s="4">
        <v>24</v>
      </c>
      <c r="C688" s="5">
        <v>3.81</v>
      </c>
      <c r="D688" s="4">
        <v>15</v>
      </c>
      <c r="E688" s="5">
        <v>3.79</v>
      </c>
      <c r="F688" s="4">
        <v>9</v>
      </c>
      <c r="G688" s="5">
        <v>3.95</v>
      </c>
      <c r="H688" s="4">
        <v>0</v>
      </c>
    </row>
    <row r="689" spans="1:8" x14ac:dyDescent="0.15">
      <c r="A689" s="2" t="s">
        <v>65</v>
      </c>
      <c r="B689" s="4">
        <v>16</v>
      </c>
      <c r="C689" s="5">
        <v>2.54</v>
      </c>
      <c r="D689" s="4">
        <v>6</v>
      </c>
      <c r="E689" s="5">
        <v>1.52</v>
      </c>
      <c r="F689" s="4">
        <v>7</v>
      </c>
      <c r="G689" s="5">
        <v>3.07</v>
      </c>
      <c r="H689" s="4">
        <v>3</v>
      </c>
    </row>
    <row r="690" spans="1:8" x14ac:dyDescent="0.15">
      <c r="A690" s="1" t="s">
        <v>43</v>
      </c>
      <c r="B690" s="4">
        <v>321</v>
      </c>
      <c r="C690" s="5">
        <v>100.01000000000002</v>
      </c>
      <c r="D690" s="4">
        <v>234</v>
      </c>
      <c r="E690" s="5">
        <v>100.02</v>
      </c>
      <c r="F690" s="4">
        <v>86</v>
      </c>
      <c r="G690" s="5">
        <v>99.989999999999981</v>
      </c>
      <c r="H690" s="4">
        <v>1</v>
      </c>
    </row>
    <row r="691" spans="1:8" x14ac:dyDescent="0.15">
      <c r="A691" s="2" t="s">
        <v>51</v>
      </c>
      <c r="B691" s="4">
        <v>0</v>
      </c>
      <c r="C691" s="5">
        <v>0</v>
      </c>
      <c r="D691" s="4">
        <v>0</v>
      </c>
      <c r="E691" s="5">
        <v>0</v>
      </c>
      <c r="F691" s="4">
        <v>0</v>
      </c>
      <c r="G691" s="5">
        <v>0</v>
      </c>
      <c r="H691" s="4">
        <v>0</v>
      </c>
    </row>
    <row r="692" spans="1:8" x14ac:dyDescent="0.15">
      <c r="A692" s="2" t="s">
        <v>52</v>
      </c>
      <c r="B692" s="4">
        <v>83</v>
      </c>
      <c r="C692" s="5">
        <v>25.86</v>
      </c>
      <c r="D692" s="4">
        <v>60</v>
      </c>
      <c r="E692" s="5">
        <v>25.64</v>
      </c>
      <c r="F692" s="4">
        <v>23</v>
      </c>
      <c r="G692" s="5">
        <v>26.74</v>
      </c>
      <c r="H692" s="4">
        <v>0</v>
      </c>
    </row>
    <row r="693" spans="1:8" x14ac:dyDescent="0.15">
      <c r="A693" s="2" t="s">
        <v>53</v>
      </c>
      <c r="B693" s="4">
        <v>83</v>
      </c>
      <c r="C693" s="5">
        <v>25.86</v>
      </c>
      <c r="D693" s="4">
        <v>47</v>
      </c>
      <c r="E693" s="5">
        <v>20.09</v>
      </c>
      <c r="F693" s="4">
        <v>36</v>
      </c>
      <c r="G693" s="5">
        <v>41.86</v>
      </c>
      <c r="H693" s="4">
        <v>0</v>
      </c>
    </row>
    <row r="694" spans="1:8" x14ac:dyDescent="0.15">
      <c r="A694" s="2" t="s">
        <v>54</v>
      </c>
      <c r="B694" s="4">
        <v>0</v>
      </c>
      <c r="C694" s="5">
        <v>0</v>
      </c>
      <c r="D694" s="4">
        <v>0</v>
      </c>
      <c r="E694" s="5">
        <v>0</v>
      </c>
      <c r="F694" s="4">
        <v>0</v>
      </c>
      <c r="G694" s="5">
        <v>0</v>
      </c>
      <c r="H694" s="4">
        <v>0</v>
      </c>
    </row>
    <row r="695" spans="1:8" x14ac:dyDescent="0.15">
      <c r="A695" s="2" t="s">
        <v>55</v>
      </c>
      <c r="B695" s="4">
        <v>1</v>
      </c>
      <c r="C695" s="5">
        <v>0.31</v>
      </c>
      <c r="D695" s="4">
        <v>0</v>
      </c>
      <c r="E695" s="5">
        <v>0</v>
      </c>
      <c r="F695" s="4">
        <v>1</v>
      </c>
      <c r="G695" s="5">
        <v>1.1599999999999999</v>
      </c>
      <c r="H695" s="4">
        <v>0</v>
      </c>
    </row>
    <row r="696" spans="1:8" x14ac:dyDescent="0.15">
      <c r="A696" s="2" t="s">
        <v>56</v>
      </c>
      <c r="B696" s="4">
        <v>2</v>
      </c>
      <c r="C696" s="5">
        <v>0.62</v>
      </c>
      <c r="D696" s="4">
        <v>1</v>
      </c>
      <c r="E696" s="5">
        <v>0.43</v>
      </c>
      <c r="F696" s="4">
        <v>1</v>
      </c>
      <c r="G696" s="5">
        <v>1.1599999999999999</v>
      </c>
      <c r="H696" s="4">
        <v>0</v>
      </c>
    </row>
    <row r="697" spans="1:8" x14ac:dyDescent="0.15">
      <c r="A697" s="2" t="s">
        <v>57</v>
      </c>
      <c r="B697" s="4">
        <v>60</v>
      </c>
      <c r="C697" s="5">
        <v>18.690000000000001</v>
      </c>
      <c r="D697" s="4">
        <v>47</v>
      </c>
      <c r="E697" s="5">
        <v>20.09</v>
      </c>
      <c r="F697" s="4">
        <v>13</v>
      </c>
      <c r="G697" s="5">
        <v>15.12</v>
      </c>
      <c r="H697" s="4">
        <v>0</v>
      </c>
    </row>
    <row r="698" spans="1:8" x14ac:dyDescent="0.15">
      <c r="A698" s="2" t="s">
        <v>58</v>
      </c>
      <c r="B698" s="4">
        <v>1</v>
      </c>
      <c r="C698" s="5">
        <v>0.31</v>
      </c>
      <c r="D698" s="4">
        <v>1</v>
      </c>
      <c r="E698" s="5">
        <v>0.43</v>
      </c>
      <c r="F698" s="4">
        <v>0</v>
      </c>
      <c r="G698" s="5">
        <v>0</v>
      </c>
      <c r="H698" s="4">
        <v>0</v>
      </c>
    </row>
    <row r="699" spans="1:8" x14ac:dyDescent="0.15">
      <c r="A699" s="2" t="s">
        <v>59</v>
      </c>
      <c r="B699" s="4">
        <v>6</v>
      </c>
      <c r="C699" s="5">
        <v>1.87</v>
      </c>
      <c r="D699" s="4">
        <v>2</v>
      </c>
      <c r="E699" s="5">
        <v>0.85</v>
      </c>
      <c r="F699" s="4">
        <v>3</v>
      </c>
      <c r="G699" s="5">
        <v>3.49</v>
      </c>
      <c r="H699" s="4">
        <v>1</v>
      </c>
    </row>
    <row r="700" spans="1:8" x14ac:dyDescent="0.15">
      <c r="A700" s="2" t="s">
        <v>60</v>
      </c>
      <c r="B700" s="4">
        <v>11</v>
      </c>
      <c r="C700" s="5">
        <v>3.43</v>
      </c>
      <c r="D700" s="4">
        <v>8</v>
      </c>
      <c r="E700" s="5">
        <v>3.42</v>
      </c>
      <c r="F700" s="4">
        <v>3</v>
      </c>
      <c r="G700" s="5">
        <v>3.49</v>
      </c>
      <c r="H700" s="4">
        <v>0</v>
      </c>
    </row>
    <row r="701" spans="1:8" x14ac:dyDescent="0.15">
      <c r="A701" s="2" t="s">
        <v>61</v>
      </c>
      <c r="B701" s="4">
        <v>17</v>
      </c>
      <c r="C701" s="5">
        <v>5.3</v>
      </c>
      <c r="D701" s="4">
        <v>16</v>
      </c>
      <c r="E701" s="5">
        <v>6.84</v>
      </c>
      <c r="F701" s="4">
        <v>1</v>
      </c>
      <c r="G701" s="5">
        <v>1.1599999999999999</v>
      </c>
      <c r="H701" s="4">
        <v>0</v>
      </c>
    </row>
    <row r="702" spans="1:8" x14ac:dyDescent="0.15">
      <c r="A702" s="2" t="s">
        <v>62</v>
      </c>
      <c r="B702" s="4">
        <v>32</v>
      </c>
      <c r="C702" s="5">
        <v>9.9700000000000006</v>
      </c>
      <c r="D702" s="4">
        <v>28</v>
      </c>
      <c r="E702" s="5">
        <v>11.97</v>
      </c>
      <c r="F702" s="4">
        <v>4</v>
      </c>
      <c r="G702" s="5">
        <v>4.6500000000000004</v>
      </c>
      <c r="H702" s="4">
        <v>0</v>
      </c>
    </row>
    <row r="703" spans="1:8" x14ac:dyDescent="0.15">
      <c r="A703" s="2" t="s">
        <v>63</v>
      </c>
      <c r="B703" s="4">
        <v>9</v>
      </c>
      <c r="C703" s="5">
        <v>2.8</v>
      </c>
      <c r="D703" s="4">
        <v>9</v>
      </c>
      <c r="E703" s="5">
        <v>3.85</v>
      </c>
      <c r="F703" s="4">
        <v>0</v>
      </c>
      <c r="G703" s="5">
        <v>0</v>
      </c>
      <c r="H703" s="4">
        <v>0</v>
      </c>
    </row>
    <row r="704" spans="1:8" x14ac:dyDescent="0.15">
      <c r="A704" s="2" t="s">
        <v>64</v>
      </c>
      <c r="B704" s="4">
        <v>6</v>
      </c>
      <c r="C704" s="5">
        <v>1.87</v>
      </c>
      <c r="D704" s="4">
        <v>6</v>
      </c>
      <c r="E704" s="5">
        <v>2.56</v>
      </c>
      <c r="F704" s="4">
        <v>0</v>
      </c>
      <c r="G704" s="5">
        <v>0</v>
      </c>
      <c r="H704" s="4">
        <v>0</v>
      </c>
    </row>
    <row r="705" spans="1:8" x14ac:dyDescent="0.15">
      <c r="A705" s="2" t="s">
        <v>65</v>
      </c>
      <c r="B705" s="4">
        <v>10</v>
      </c>
      <c r="C705" s="5">
        <v>3.12</v>
      </c>
      <c r="D705" s="4">
        <v>9</v>
      </c>
      <c r="E705" s="5">
        <v>3.85</v>
      </c>
      <c r="F705" s="4">
        <v>1</v>
      </c>
      <c r="G705" s="5">
        <v>1.1599999999999999</v>
      </c>
      <c r="H705" s="4">
        <v>0</v>
      </c>
    </row>
    <row r="706" spans="1:8" x14ac:dyDescent="0.15">
      <c r="A706" s="1" t="s">
        <v>44</v>
      </c>
      <c r="B706" s="4">
        <v>555</v>
      </c>
      <c r="C706" s="5">
        <v>99.990000000000009</v>
      </c>
      <c r="D706" s="4">
        <v>348</v>
      </c>
      <c r="E706" s="5">
        <v>99.97999999999999</v>
      </c>
      <c r="F706" s="4">
        <v>207</v>
      </c>
      <c r="G706" s="5">
        <v>99.999999999999986</v>
      </c>
      <c r="H706" s="4">
        <v>0</v>
      </c>
    </row>
    <row r="707" spans="1:8" x14ac:dyDescent="0.15">
      <c r="A707" s="2" t="s">
        <v>51</v>
      </c>
      <c r="B707" s="4">
        <v>0</v>
      </c>
      <c r="C707" s="5">
        <v>0</v>
      </c>
      <c r="D707" s="4">
        <v>0</v>
      </c>
      <c r="E707" s="5">
        <v>0</v>
      </c>
      <c r="F707" s="4">
        <v>0</v>
      </c>
      <c r="G707" s="5">
        <v>0</v>
      </c>
      <c r="H707" s="4">
        <v>0</v>
      </c>
    </row>
    <row r="708" spans="1:8" x14ac:dyDescent="0.15">
      <c r="A708" s="2" t="s">
        <v>52</v>
      </c>
      <c r="B708" s="4">
        <v>83</v>
      </c>
      <c r="C708" s="5">
        <v>14.95</v>
      </c>
      <c r="D708" s="4">
        <v>36</v>
      </c>
      <c r="E708" s="5">
        <v>10.34</v>
      </c>
      <c r="F708" s="4">
        <v>47</v>
      </c>
      <c r="G708" s="5">
        <v>22.71</v>
      </c>
      <c r="H708" s="4">
        <v>0</v>
      </c>
    </row>
    <row r="709" spans="1:8" x14ac:dyDescent="0.15">
      <c r="A709" s="2" t="s">
        <v>53</v>
      </c>
      <c r="B709" s="4">
        <v>72</v>
      </c>
      <c r="C709" s="5">
        <v>12.97</v>
      </c>
      <c r="D709" s="4">
        <v>40</v>
      </c>
      <c r="E709" s="5">
        <v>11.49</v>
      </c>
      <c r="F709" s="4">
        <v>32</v>
      </c>
      <c r="G709" s="5">
        <v>15.46</v>
      </c>
      <c r="H709" s="4">
        <v>0</v>
      </c>
    </row>
    <row r="710" spans="1:8" x14ac:dyDescent="0.15">
      <c r="A710" s="2" t="s">
        <v>54</v>
      </c>
      <c r="B710" s="4">
        <v>0</v>
      </c>
      <c r="C710" s="5">
        <v>0</v>
      </c>
      <c r="D710" s="4">
        <v>0</v>
      </c>
      <c r="E710" s="5">
        <v>0</v>
      </c>
      <c r="F710" s="4">
        <v>0</v>
      </c>
      <c r="G710" s="5">
        <v>0</v>
      </c>
      <c r="H710" s="4">
        <v>0</v>
      </c>
    </row>
    <row r="711" spans="1:8" x14ac:dyDescent="0.15">
      <c r="A711" s="2" t="s">
        <v>55</v>
      </c>
      <c r="B711" s="4">
        <v>1</v>
      </c>
      <c r="C711" s="5">
        <v>0.18</v>
      </c>
      <c r="D711" s="4">
        <v>0</v>
      </c>
      <c r="E711" s="5">
        <v>0</v>
      </c>
      <c r="F711" s="4">
        <v>1</v>
      </c>
      <c r="G711" s="5">
        <v>0.48</v>
      </c>
      <c r="H711" s="4">
        <v>0</v>
      </c>
    </row>
    <row r="712" spans="1:8" x14ac:dyDescent="0.15">
      <c r="A712" s="2" t="s">
        <v>56</v>
      </c>
      <c r="B712" s="4">
        <v>6</v>
      </c>
      <c r="C712" s="5">
        <v>1.08</v>
      </c>
      <c r="D712" s="4">
        <v>0</v>
      </c>
      <c r="E712" s="5">
        <v>0</v>
      </c>
      <c r="F712" s="4">
        <v>6</v>
      </c>
      <c r="G712" s="5">
        <v>2.9</v>
      </c>
      <c r="H712" s="4">
        <v>0</v>
      </c>
    </row>
    <row r="713" spans="1:8" x14ac:dyDescent="0.15">
      <c r="A713" s="2" t="s">
        <v>57</v>
      </c>
      <c r="B713" s="4">
        <v>143</v>
      </c>
      <c r="C713" s="5">
        <v>25.77</v>
      </c>
      <c r="D713" s="4">
        <v>87</v>
      </c>
      <c r="E713" s="5">
        <v>25</v>
      </c>
      <c r="F713" s="4">
        <v>56</v>
      </c>
      <c r="G713" s="5">
        <v>27.05</v>
      </c>
      <c r="H713" s="4">
        <v>0</v>
      </c>
    </row>
    <row r="714" spans="1:8" x14ac:dyDescent="0.15">
      <c r="A714" s="2" t="s">
        <v>58</v>
      </c>
      <c r="B714" s="4">
        <v>5</v>
      </c>
      <c r="C714" s="5">
        <v>0.9</v>
      </c>
      <c r="D714" s="4">
        <v>2</v>
      </c>
      <c r="E714" s="5">
        <v>0.56999999999999995</v>
      </c>
      <c r="F714" s="4">
        <v>3</v>
      </c>
      <c r="G714" s="5">
        <v>1.45</v>
      </c>
      <c r="H714" s="4">
        <v>0</v>
      </c>
    </row>
    <row r="715" spans="1:8" x14ac:dyDescent="0.15">
      <c r="A715" s="2" t="s">
        <v>59</v>
      </c>
      <c r="B715" s="4">
        <v>47</v>
      </c>
      <c r="C715" s="5">
        <v>8.4700000000000006</v>
      </c>
      <c r="D715" s="4">
        <v>30</v>
      </c>
      <c r="E715" s="5">
        <v>8.6199999999999992</v>
      </c>
      <c r="F715" s="4">
        <v>17</v>
      </c>
      <c r="G715" s="5">
        <v>8.2100000000000009</v>
      </c>
      <c r="H715" s="4">
        <v>0</v>
      </c>
    </row>
    <row r="716" spans="1:8" x14ac:dyDescent="0.15">
      <c r="A716" s="2" t="s">
        <v>60</v>
      </c>
      <c r="B716" s="4">
        <v>20</v>
      </c>
      <c r="C716" s="5">
        <v>3.6</v>
      </c>
      <c r="D716" s="4">
        <v>11</v>
      </c>
      <c r="E716" s="5">
        <v>3.16</v>
      </c>
      <c r="F716" s="4">
        <v>9</v>
      </c>
      <c r="G716" s="5">
        <v>4.3499999999999996</v>
      </c>
      <c r="H716" s="4">
        <v>0</v>
      </c>
    </row>
    <row r="717" spans="1:8" x14ac:dyDescent="0.15">
      <c r="A717" s="2" t="s">
        <v>61</v>
      </c>
      <c r="B717" s="4">
        <v>49</v>
      </c>
      <c r="C717" s="5">
        <v>8.83</v>
      </c>
      <c r="D717" s="4">
        <v>41</v>
      </c>
      <c r="E717" s="5">
        <v>11.78</v>
      </c>
      <c r="F717" s="4">
        <v>8</v>
      </c>
      <c r="G717" s="5">
        <v>3.86</v>
      </c>
      <c r="H717" s="4">
        <v>0</v>
      </c>
    </row>
    <row r="718" spans="1:8" x14ac:dyDescent="0.15">
      <c r="A718" s="2" t="s">
        <v>62</v>
      </c>
      <c r="B718" s="4">
        <v>65</v>
      </c>
      <c r="C718" s="5">
        <v>11.71</v>
      </c>
      <c r="D718" s="4">
        <v>55</v>
      </c>
      <c r="E718" s="5">
        <v>15.8</v>
      </c>
      <c r="F718" s="4">
        <v>10</v>
      </c>
      <c r="G718" s="5">
        <v>4.83</v>
      </c>
      <c r="H718" s="4">
        <v>0</v>
      </c>
    </row>
    <row r="719" spans="1:8" x14ac:dyDescent="0.15">
      <c r="A719" s="2" t="s">
        <v>63</v>
      </c>
      <c r="B719" s="4">
        <v>29</v>
      </c>
      <c r="C719" s="5">
        <v>5.23</v>
      </c>
      <c r="D719" s="4">
        <v>23</v>
      </c>
      <c r="E719" s="5">
        <v>6.61</v>
      </c>
      <c r="F719" s="4">
        <v>6</v>
      </c>
      <c r="G719" s="5">
        <v>2.9</v>
      </c>
      <c r="H719" s="4">
        <v>0</v>
      </c>
    </row>
    <row r="720" spans="1:8" x14ac:dyDescent="0.15">
      <c r="A720" s="2" t="s">
        <v>64</v>
      </c>
      <c r="B720" s="4">
        <v>15</v>
      </c>
      <c r="C720" s="5">
        <v>2.7</v>
      </c>
      <c r="D720" s="4">
        <v>12</v>
      </c>
      <c r="E720" s="5">
        <v>3.45</v>
      </c>
      <c r="F720" s="4">
        <v>3</v>
      </c>
      <c r="G720" s="5">
        <v>1.45</v>
      </c>
      <c r="H720" s="4">
        <v>0</v>
      </c>
    </row>
    <row r="721" spans="1:8" x14ac:dyDescent="0.15">
      <c r="A721" s="2" t="s">
        <v>65</v>
      </c>
      <c r="B721" s="4">
        <v>20</v>
      </c>
      <c r="C721" s="5">
        <v>3.6</v>
      </c>
      <c r="D721" s="4">
        <v>11</v>
      </c>
      <c r="E721" s="5">
        <v>3.16</v>
      </c>
      <c r="F721" s="4">
        <v>9</v>
      </c>
      <c r="G721" s="5">
        <v>4.3499999999999996</v>
      </c>
      <c r="H721" s="4">
        <v>0</v>
      </c>
    </row>
    <row r="722" spans="1:8" x14ac:dyDescent="0.15">
      <c r="A722" s="1" t="s">
        <v>45</v>
      </c>
      <c r="B722" s="4">
        <v>398</v>
      </c>
      <c r="C722" s="5">
        <v>100.00000000000001</v>
      </c>
      <c r="D722" s="4">
        <v>300</v>
      </c>
      <c r="E722" s="5">
        <v>100</v>
      </c>
      <c r="F722" s="4">
        <v>95</v>
      </c>
      <c r="G722" s="5">
        <v>100.00999999999999</v>
      </c>
      <c r="H722" s="4">
        <v>3</v>
      </c>
    </row>
    <row r="723" spans="1:8" x14ac:dyDescent="0.15">
      <c r="A723" s="2" t="s">
        <v>51</v>
      </c>
      <c r="B723" s="4">
        <v>0</v>
      </c>
      <c r="C723" s="5">
        <v>0</v>
      </c>
      <c r="D723" s="4">
        <v>0</v>
      </c>
      <c r="E723" s="5">
        <v>0</v>
      </c>
      <c r="F723" s="4">
        <v>0</v>
      </c>
      <c r="G723" s="5">
        <v>0</v>
      </c>
      <c r="H723" s="4">
        <v>0</v>
      </c>
    </row>
    <row r="724" spans="1:8" x14ac:dyDescent="0.15">
      <c r="A724" s="2" t="s">
        <v>52</v>
      </c>
      <c r="B724" s="4">
        <v>92</v>
      </c>
      <c r="C724" s="5">
        <v>23.12</v>
      </c>
      <c r="D724" s="4">
        <v>67</v>
      </c>
      <c r="E724" s="5">
        <v>22.33</v>
      </c>
      <c r="F724" s="4">
        <v>25</v>
      </c>
      <c r="G724" s="5">
        <v>26.32</v>
      </c>
      <c r="H724" s="4">
        <v>0</v>
      </c>
    </row>
    <row r="725" spans="1:8" x14ac:dyDescent="0.15">
      <c r="A725" s="2" t="s">
        <v>53</v>
      </c>
      <c r="B725" s="4">
        <v>31</v>
      </c>
      <c r="C725" s="5">
        <v>7.79</v>
      </c>
      <c r="D725" s="4">
        <v>15</v>
      </c>
      <c r="E725" s="5">
        <v>5</v>
      </c>
      <c r="F725" s="4">
        <v>16</v>
      </c>
      <c r="G725" s="5">
        <v>16.84</v>
      </c>
      <c r="H725" s="4">
        <v>0</v>
      </c>
    </row>
    <row r="726" spans="1:8" x14ac:dyDescent="0.15">
      <c r="A726" s="2" t="s">
        <v>54</v>
      </c>
      <c r="B726" s="4">
        <v>0</v>
      </c>
      <c r="C726" s="5">
        <v>0</v>
      </c>
      <c r="D726" s="4">
        <v>0</v>
      </c>
      <c r="E726" s="5">
        <v>0</v>
      </c>
      <c r="F726" s="4">
        <v>0</v>
      </c>
      <c r="G726" s="5">
        <v>0</v>
      </c>
      <c r="H726" s="4">
        <v>0</v>
      </c>
    </row>
    <row r="727" spans="1:8" x14ac:dyDescent="0.15">
      <c r="A727" s="2" t="s">
        <v>55</v>
      </c>
      <c r="B727" s="4">
        <v>0</v>
      </c>
      <c r="C727" s="5">
        <v>0</v>
      </c>
      <c r="D727" s="4">
        <v>0</v>
      </c>
      <c r="E727" s="5">
        <v>0</v>
      </c>
      <c r="F727" s="4">
        <v>0</v>
      </c>
      <c r="G727" s="5">
        <v>0</v>
      </c>
      <c r="H727" s="4">
        <v>0</v>
      </c>
    </row>
    <row r="728" spans="1:8" x14ac:dyDescent="0.15">
      <c r="A728" s="2" t="s">
        <v>56</v>
      </c>
      <c r="B728" s="4">
        <v>8</v>
      </c>
      <c r="C728" s="5">
        <v>2.0099999999999998</v>
      </c>
      <c r="D728" s="4">
        <v>2</v>
      </c>
      <c r="E728" s="5">
        <v>0.67</v>
      </c>
      <c r="F728" s="4">
        <v>6</v>
      </c>
      <c r="G728" s="5">
        <v>6.32</v>
      </c>
      <c r="H728" s="4">
        <v>0</v>
      </c>
    </row>
    <row r="729" spans="1:8" x14ac:dyDescent="0.15">
      <c r="A729" s="2" t="s">
        <v>57</v>
      </c>
      <c r="B729" s="4">
        <v>96</v>
      </c>
      <c r="C729" s="5">
        <v>24.12</v>
      </c>
      <c r="D729" s="4">
        <v>68</v>
      </c>
      <c r="E729" s="5">
        <v>22.67</v>
      </c>
      <c r="F729" s="4">
        <v>27</v>
      </c>
      <c r="G729" s="5">
        <v>28.42</v>
      </c>
      <c r="H729" s="4">
        <v>1</v>
      </c>
    </row>
    <row r="730" spans="1:8" x14ac:dyDescent="0.15">
      <c r="A730" s="2" t="s">
        <v>58</v>
      </c>
      <c r="B730" s="4">
        <v>0</v>
      </c>
      <c r="C730" s="5">
        <v>0</v>
      </c>
      <c r="D730" s="4">
        <v>0</v>
      </c>
      <c r="E730" s="5">
        <v>0</v>
      </c>
      <c r="F730" s="4">
        <v>0</v>
      </c>
      <c r="G730" s="5">
        <v>0</v>
      </c>
      <c r="H730" s="4">
        <v>0</v>
      </c>
    </row>
    <row r="731" spans="1:8" x14ac:dyDescent="0.15">
      <c r="A731" s="2" t="s">
        <v>59</v>
      </c>
      <c r="B731" s="4">
        <v>11</v>
      </c>
      <c r="C731" s="5">
        <v>2.76</v>
      </c>
      <c r="D731" s="4">
        <v>8</v>
      </c>
      <c r="E731" s="5">
        <v>2.67</v>
      </c>
      <c r="F731" s="4">
        <v>3</v>
      </c>
      <c r="G731" s="5">
        <v>3.16</v>
      </c>
      <c r="H731" s="4">
        <v>0</v>
      </c>
    </row>
    <row r="732" spans="1:8" x14ac:dyDescent="0.15">
      <c r="A732" s="2" t="s">
        <v>60</v>
      </c>
      <c r="B732" s="4">
        <v>13</v>
      </c>
      <c r="C732" s="5">
        <v>3.27</v>
      </c>
      <c r="D732" s="4">
        <v>9</v>
      </c>
      <c r="E732" s="5">
        <v>3</v>
      </c>
      <c r="F732" s="4">
        <v>4</v>
      </c>
      <c r="G732" s="5">
        <v>4.21</v>
      </c>
      <c r="H732" s="4">
        <v>0</v>
      </c>
    </row>
    <row r="733" spans="1:8" x14ac:dyDescent="0.15">
      <c r="A733" s="2" t="s">
        <v>61</v>
      </c>
      <c r="B733" s="4">
        <v>51</v>
      </c>
      <c r="C733" s="5">
        <v>12.81</v>
      </c>
      <c r="D733" s="4">
        <v>48</v>
      </c>
      <c r="E733" s="5">
        <v>16</v>
      </c>
      <c r="F733" s="4">
        <v>2</v>
      </c>
      <c r="G733" s="5">
        <v>2.11</v>
      </c>
      <c r="H733" s="4">
        <v>1</v>
      </c>
    </row>
    <row r="734" spans="1:8" x14ac:dyDescent="0.15">
      <c r="A734" s="2" t="s">
        <v>62</v>
      </c>
      <c r="B734" s="4">
        <v>41</v>
      </c>
      <c r="C734" s="5">
        <v>10.3</v>
      </c>
      <c r="D734" s="4">
        <v>37</v>
      </c>
      <c r="E734" s="5">
        <v>12.33</v>
      </c>
      <c r="F734" s="4">
        <v>3</v>
      </c>
      <c r="G734" s="5">
        <v>3.16</v>
      </c>
      <c r="H734" s="4">
        <v>1</v>
      </c>
    </row>
    <row r="735" spans="1:8" x14ac:dyDescent="0.15">
      <c r="A735" s="2" t="s">
        <v>63</v>
      </c>
      <c r="B735" s="4">
        <v>21</v>
      </c>
      <c r="C735" s="5">
        <v>5.28</v>
      </c>
      <c r="D735" s="4">
        <v>20</v>
      </c>
      <c r="E735" s="5">
        <v>6.67</v>
      </c>
      <c r="F735" s="4">
        <v>1</v>
      </c>
      <c r="G735" s="5">
        <v>1.05</v>
      </c>
      <c r="H735" s="4">
        <v>0</v>
      </c>
    </row>
    <row r="736" spans="1:8" x14ac:dyDescent="0.15">
      <c r="A736" s="2" t="s">
        <v>64</v>
      </c>
      <c r="B736" s="4">
        <v>8</v>
      </c>
      <c r="C736" s="5">
        <v>2.0099999999999998</v>
      </c>
      <c r="D736" s="4">
        <v>7</v>
      </c>
      <c r="E736" s="5">
        <v>2.33</v>
      </c>
      <c r="F736" s="4">
        <v>1</v>
      </c>
      <c r="G736" s="5">
        <v>1.05</v>
      </c>
      <c r="H736" s="4">
        <v>0</v>
      </c>
    </row>
    <row r="737" spans="1:8" x14ac:dyDescent="0.15">
      <c r="A737" s="2" t="s">
        <v>65</v>
      </c>
      <c r="B737" s="4">
        <v>26</v>
      </c>
      <c r="C737" s="5">
        <v>6.53</v>
      </c>
      <c r="D737" s="4">
        <v>19</v>
      </c>
      <c r="E737" s="5">
        <v>6.33</v>
      </c>
      <c r="F737" s="4">
        <v>7</v>
      </c>
      <c r="G737" s="5">
        <v>7.37</v>
      </c>
      <c r="H737" s="4">
        <v>0</v>
      </c>
    </row>
    <row r="738" spans="1:8" x14ac:dyDescent="0.15">
      <c r="A738" s="1" t="s">
        <v>46</v>
      </c>
      <c r="B738" s="4">
        <v>764</v>
      </c>
      <c r="C738" s="5">
        <v>100</v>
      </c>
      <c r="D738" s="4">
        <v>521</v>
      </c>
      <c r="E738" s="5">
        <v>100.00999999999998</v>
      </c>
      <c r="F738" s="4">
        <v>240</v>
      </c>
      <c r="G738" s="5">
        <v>100.01</v>
      </c>
      <c r="H738" s="4">
        <v>3</v>
      </c>
    </row>
    <row r="739" spans="1:8" x14ac:dyDescent="0.15">
      <c r="A739" s="2" t="s">
        <v>51</v>
      </c>
      <c r="B739" s="4">
        <v>0</v>
      </c>
      <c r="C739" s="5">
        <v>0</v>
      </c>
      <c r="D739" s="4">
        <v>0</v>
      </c>
      <c r="E739" s="5">
        <v>0</v>
      </c>
      <c r="F739" s="4">
        <v>0</v>
      </c>
      <c r="G739" s="5">
        <v>0</v>
      </c>
      <c r="H739" s="4">
        <v>0</v>
      </c>
    </row>
    <row r="740" spans="1:8" x14ac:dyDescent="0.15">
      <c r="A740" s="2" t="s">
        <v>52</v>
      </c>
      <c r="B740" s="4">
        <v>150</v>
      </c>
      <c r="C740" s="5">
        <v>19.63</v>
      </c>
      <c r="D740" s="4">
        <v>74</v>
      </c>
      <c r="E740" s="5">
        <v>14.2</v>
      </c>
      <c r="F740" s="4">
        <v>76</v>
      </c>
      <c r="G740" s="5">
        <v>31.67</v>
      </c>
      <c r="H740" s="4">
        <v>0</v>
      </c>
    </row>
    <row r="741" spans="1:8" x14ac:dyDescent="0.15">
      <c r="A741" s="2" t="s">
        <v>53</v>
      </c>
      <c r="B741" s="4">
        <v>52</v>
      </c>
      <c r="C741" s="5">
        <v>6.81</v>
      </c>
      <c r="D741" s="4">
        <v>24</v>
      </c>
      <c r="E741" s="5">
        <v>4.6100000000000003</v>
      </c>
      <c r="F741" s="4">
        <v>27</v>
      </c>
      <c r="G741" s="5">
        <v>11.25</v>
      </c>
      <c r="H741" s="4">
        <v>1</v>
      </c>
    </row>
    <row r="742" spans="1:8" x14ac:dyDescent="0.15">
      <c r="A742" s="2" t="s">
        <v>54</v>
      </c>
      <c r="B742" s="4">
        <v>0</v>
      </c>
      <c r="C742" s="5">
        <v>0</v>
      </c>
      <c r="D742" s="4">
        <v>0</v>
      </c>
      <c r="E742" s="5">
        <v>0</v>
      </c>
      <c r="F742" s="4">
        <v>0</v>
      </c>
      <c r="G742" s="5">
        <v>0</v>
      </c>
      <c r="H742" s="4">
        <v>0</v>
      </c>
    </row>
    <row r="743" spans="1:8" x14ac:dyDescent="0.15">
      <c r="A743" s="2" t="s">
        <v>55</v>
      </c>
      <c r="B743" s="4">
        <v>3</v>
      </c>
      <c r="C743" s="5">
        <v>0.39</v>
      </c>
      <c r="D743" s="4">
        <v>1</v>
      </c>
      <c r="E743" s="5">
        <v>0.19</v>
      </c>
      <c r="F743" s="4">
        <v>2</v>
      </c>
      <c r="G743" s="5">
        <v>0.83</v>
      </c>
      <c r="H743" s="4">
        <v>0</v>
      </c>
    </row>
    <row r="744" spans="1:8" x14ac:dyDescent="0.15">
      <c r="A744" s="2" t="s">
        <v>56</v>
      </c>
      <c r="B744" s="4">
        <v>7</v>
      </c>
      <c r="C744" s="5">
        <v>0.92</v>
      </c>
      <c r="D744" s="4">
        <v>3</v>
      </c>
      <c r="E744" s="5">
        <v>0.57999999999999996</v>
      </c>
      <c r="F744" s="4">
        <v>4</v>
      </c>
      <c r="G744" s="5">
        <v>1.67</v>
      </c>
      <c r="H744" s="4">
        <v>0</v>
      </c>
    </row>
    <row r="745" spans="1:8" x14ac:dyDescent="0.15">
      <c r="A745" s="2" t="s">
        <v>57</v>
      </c>
      <c r="B745" s="4">
        <v>174</v>
      </c>
      <c r="C745" s="5">
        <v>22.77</v>
      </c>
      <c r="D745" s="4">
        <v>105</v>
      </c>
      <c r="E745" s="5">
        <v>20.149999999999999</v>
      </c>
      <c r="F745" s="4">
        <v>67</v>
      </c>
      <c r="G745" s="5">
        <v>27.92</v>
      </c>
      <c r="H745" s="4">
        <v>2</v>
      </c>
    </row>
    <row r="746" spans="1:8" x14ac:dyDescent="0.15">
      <c r="A746" s="2" t="s">
        <v>58</v>
      </c>
      <c r="B746" s="4">
        <v>4</v>
      </c>
      <c r="C746" s="5">
        <v>0.52</v>
      </c>
      <c r="D746" s="4">
        <v>3</v>
      </c>
      <c r="E746" s="5">
        <v>0.57999999999999996</v>
      </c>
      <c r="F746" s="4">
        <v>1</v>
      </c>
      <c r="G746" s="5">
        <v>0.42</v>
      </c>
      <c r="H746" s="4">
        <v>0</v>
      </c>
    </row>
    <row r="747" spans="1:8" x14ac:dyDescent="0.15">
      <c r="A747" s="2" t="s">
        <v>59</v>
      </c>
      <c r="B747" s="4">
        <v>67</v>
      </c>
      <c r="C747" s="5">
        <v>8.77</v>
      </c>
      <c r="D747" s="4">
        <v>44</v>
      </c>
      <c r="E747" s="5">
        <v>8.4499999999999993</v>
      </c>
      <c r="F747" s="4">
        <v>23</v>
      </c>
      <c r="G747" s="5">
        <v>9.58</v>
      </c>
      <c r="H747" s="4">
        <v>0</v>
      </c>
    </row>
    <row r="748" spans="1:8" x14ac:dyDescent="0.15">
      <c r="A748" s="2" t="s">
        <v>60</v>
      </c>
      <c r="B748" s="4">
        <v>31</v>
      </c>
      <c r="C748" s="5">
        <v>4.0599999999999996</v>
      </c>
      <c r="D748" s="4">
        <v>25</v>
      </c>
      <c r="E748" s="5">
        <v>4.8</v>
      </c>
      <c r="F748" s="4">
        <v>6</v>
      </c>
      <c r="G748" s="5">
        <v>2.5</v>
      </c>
      <c r="H748" s="4">
        <v>0</v>
      </c>
    </row>
    <row r="749" spans="1:8" x14ac:dyDescent="0.15">
      <c r="A749" s="2" t="s">
        <v>61</v>
      </c>
      <c r="B749" s="4">
        <v>76</v>
      </c>
      <c r="C749" s="5">
        <v>9.9499999999999993</v>
      </c>
      <c r="D749" s="4">
        <v>70</v>
      </c>
      <c r="E749" s="5">
        <v>13.44</v>
      </c>
      <c r="F749" s="4">
        <v>6</v>
      </c>
      <c r="G749" s="5">
        <v>2.5</v>
      </c>
      <c r="H749" s="4">
        <v>0</v>
      </c>
    </row>
    <row r="750" spans="1:8" x14ac:dyDescent="0.15">
      <c r="A750" s="2" t="s">
        <v>62</v>
      </c>
      <c r="B750" s="4">
        <v>94</v>
      </c>
      <c r="C750" s="5">
        <v>12.3</v>
      </c>
      <c r="D750" s="4">
        <v>82</v>
      </c>
      <c r="E750" s="5">
        <v>15.74</v>
      </c>
      <c r="F750" s="4">
        <v>12</v>
      </c>
      <c r="G750" s="5">
        <v>5</v>
      </c>
      <c r="H750" s="4">
        <v>0</v>
      </c>
    </row>
    <row r="751" spans="1:8" x14ac:dyDescent="0.15">
      <c r="A751" s="2" t="s">
        <v>63</v>
      </c>
      <c r="B751" s="4">
        <v>63</v>
      </c>
      <c r="C751" s="5">
        <v>8.25</v>
      </c>
      <c r="D751" s="4">
        <v>59</v>
      </c>
      <c r="E751" s="5">
        <v>11.32</v>
      </c>
      <c r="F751" s="4">
        <v>4</v>
      </c>
      <c r="G751" s="5">
        <v>1.67</v>
      </c>
      <c r="H751" s="4">
        <v>0</v>
      </c>
    </row>
    <row r="752" spans="1:8" x14ac:dyDescent="0.15">
      <c r="A752" s="2" t="s">
        <v>64</v>
      </c>
      <c r="B752" s="4">
        <v>25</v>
      </c>
      <c r="C752" s="5">
        <v>3.27</v>
      </c>
      <c r="D752" s="4">
        <v>20</v>
      </c>
      <c r="E752" s="5">
        <v>3.84</v>
      </c>
      <c r="F752" s="4">
        <v>5</v>
      </c>
      <c r="G752" s="5">
        <v>2.08</v>
      </c>
      <c r="H752" s="4">
        <v>0</v>
      </c>
    </row>
    <row r="753" spans="1:8" x14ac:dyDescent="0.15">
      <c r="A753" s="2" t="s">
        <v>65</v>
      </c>
      <c r="B753" s="4">
        <v>18</v>
      </c>
      <c r="C753" s="5">
        <v>2.36</v>
      </c>
      <c r="D753" s="4">
        <v>11</v>
      </c>
      <c r="E753" s="5">
        <v>2.11</v>
      </c>
      <c r="F753" s="4">
        <v>7</v>
      </c>
      <c r="G753" s="5">
        <v>2.92</v>
      </c>
      <c r="H753" s="4">
        <v>0</v>
      </c>
    </row>
    <row r="754" spans="1:8" x14ac:dyDescent="0.15">
      <c r="A754" s="1" t="s">
        <v>47</v>
      </c>
      <c r="B754" s="4">
        <v>420</v>
      </c>
      <c r="C754" s="5">
        <v>100.01</v>
      </c>
      <c r="D754" s="4">
        <v>285</v>
      </c>
      <c r="E754" s="5">
        <v>100.00000000000001</v>
      </c>
      <c r="F754" s="4">
        <v>134</v>
      </c>
      <c r="G754" s="5">
        <v>100.01999999999997</v>
      </c>
      <c r="H754" s="4">
        <v>1</v>
      </c>
    </row>
    <row r="755" spans="1:8" x14ac:dyDescent="0.15">
      <c r="A755" s="2" t="s">
        <v>51</v>
      </c>
      <c r="B755" s="4">
        <v>0</v>
      </c>
      <c r="C755" s="5">
        <v>0</v>
      </c>
      <c r="D755" s="4">
        <v>0</v>
      </c>
      <c r="E755" s="5">
        <v>0</v>
      </c>
      <c r="F755" s="4">
        <v>0</v>
      </c>
      <c r="G755" s="5">
        <v>0</v>
      </c>
      <c r="H755" s="4">
        <v>0</v>
      </c>
    </row>
    <row r="756" spans="1:8" x14ac:dyDescent="0.15">
      <c r="A756" s="2" t="s">
        <v>52</v>
      </c>
      <c r="B756" s="4">
        <v>90</v>
      </c>
      <c r="C756" s="5">
        <v>21.43</v>
      </c>
      <c r="D756" s="4">
        <v>41</v>
      </c>
      <c r="E756" s="5">
        <v>14.39</v>
      </c>
      <c r="F756" s="4">
        <v>49</v>
      </c>
      <c r="G756" s="5">
        <v>36.57</v>
      </c>
      <c r="H756" s="4">
        <v>0</v>
      </c>
    </row>
    <row r="757" spans="1:8" x14ac:dyDescent="0.15">
      <c r="A757" s="2" t="s">
        <v>53</v>
      </c>
      <c r="B757" s="4">
        <v>27</v>
      </c>
      <c r="C757" s="5">
        <v>6.43</v>
      </c>
      <c r="D757" s="4">
        <v>15</v>
      </c>
      <c r="E757" s="5">
        <v>5.26</v>
      </c>
      <c r="F757" s="4">
        <v>12</v>
      </c>
      <c r="G757" s="5">
        <v>8.9600000000000009</v>
      </c>
      <c r="H757" s="4">
        <v>0</v>
      </c>
    </row>
    <row r="758" spans="1:8" x14ac:dyDescent="0.15">
      <c r="A758" s="2" t="s">
        <v>54</v>
      </c>
      <c r="B758" s="4">
        <v>1</v>
      </c>
      <c r="C758" s="5">
        <v>0.24</v>
      </c>
      <c r="D758" s="4">
        <v>0</v>
      </c>
      <c r="E758" s="5">
        <v>0</v>
      </c>
      <c r="F758" s="4">
        <v>1</v>
      </c>
      <c r="G758" s="5">
        <v>0.75</v>
      </c>
      <c r="H758" s="4">
        <v>0</v>
      </c>
    </row>
    <row r="759" spans="1:8" x14ac:dyDescent="0.15">
      <c r="A759" s="2" t="s">
        <v>55</v>
      </c>
      <c r="B759" s="4">
        <v>0</v>
      </c>
      <c r="C759" s="5">
        <v>0</v>
      </c>
      <c r="D759" s="4">
        <v>0</v>
      </c>
      <c r="E759" s="5">
        <v>0</v>
      </c>
      <c r="F759" s="4">
        <v>0</v>
      </c>
      <c r="G759" s="5">
        <v>0</v>
      </c>
      <c r="H759" s="4">
        <v>0</v>
      </c>
    </row>
    <row r="760" spans="1:8" x14ac:dyDescent="0.15">
      <c r="A760" s="2" t="s">
        <v>56</v>
      </c>
      <c r="B760" s="4">
        <v>5</v>
      </c>
      <c r="C760" s="5">
        <v>1.19</v>
      </c>
      <c r="D760" s="4">
        <v>2</v>
      </c>
      <c r="E760" s="5">
        <v>0.7</v>
      </c>
      <c r="F760" s="4">
        <v>3</v>
      </c>
      <c r="G760" s="5">
        <v>2.2400000000000002</v>
      </c>
      <c r="H760" s="4">
        <v>0</v>
      </c>
    </row>
    <row r="761" spans="1:8" x14ac:dyDescent="0.15">
      <c r="A761" s="2" t="s">
        <v>57</v>
      </c>
      <c r="B761" s="4">
        <v>103</v>
      </c>
      <c r="C761" s="5">
        <v>24.52</v>
      </c>
      <c r="D761" s="4">
        <v>68</v>
      </c>
      <c r="E761" s="5">
        <v>23.86</v>
      </c>
      <c r="F761" s="4">
        <v>34</v>
      </c>
      <c r="G761" s="5">
        <v>25.37</v>
      </c>
      <c r="H761" s="4">
        <v>1</v>
      </c>
    </row>
    <row r="762" spans="1:8" x14ac:dyDescent="0.15">
      <c r="A762" s="2" t="s">
        <v>58</v>
      </c>
      <c r="B762" s="4">
        <v>2</v>
      </c>
      <c r="C762" s="5">
        <v>0.48</v>
      </c>
      <c r="D762" s="4">
        <v>0</v>
      </c>
      <c r="E762" s="5">
        <v>0</v>
      </c>
      <c r="F762" s="4">
        <v>2</v>
      </c>
      <c r="G762" s="5">
        <v>1.49</v>
      </c>
      <c r="H762" s="4">
        <v>0</v>
      </c>
    </row>
    <row r="763" spans="1:8" x14ac:dyDescent="0.15">
      <c r="A763" s="2" t="s">
        <v>59</v>
      </c>
      <c r="B763" s="4">
        <v>34</v>
      </c>
      <c r="C763" s="5">
        <v>8.1</v>
      </c>
      <c r="D763" s="4">
        <v>31</v>
      </c>
      <c r="E763" s="5">
        <v>10.88</v>
      </c>
      <c r="F763" s="4">
        <v>3</v>
      </c>
      <c r="G763" s="5">
        <v>2.2400000000000002</v>
      </c>
      <c r="H763" s="4">
        <v>0</v>
      </c>
    </row>
    <row r="764" spans="1:8" x14ac:dyDescent="0.15">
      <c r="A764" s="2" t="s">
        <v>60</v>
      </c>
      <c r="B764" s="4">
        <v>18</v>
      </c>
      <c r="C764" s="5">
        <v>4.29</v>
      </c>
      <c r="D764" s="4">
        <v>9</v>
      </c>
      <c r="E764" s="5">
        <v>3.16</v>
      </c>
      <c r="F764" s="4">
        <v>9</v>
      </c>
      <c r="G764" s="5">
        <v>6.72</v>
      </c>
      <c r="H764" s="4">
        <v>0</v>
      </c>
    </row>
    <row r="765" spans="1:8" x14ac:dyDescent="0.15">
      <c r="A765" s="2" t="s">
        <v>61</v>
      </c>
      <c r="B765" s="4">
        <v>38</v>
      </c>
      <c r="C765" s="5">
        <v>9.0500000000000007</v>
      </c>
      <c r="D765" s="4">
        <v>36</v>
      </c>
      <c r="E765" s="5">
        <v>12.63</v>
      </c>
      <c r="F765" s="4">
        <v>2</v>
      </c>
      <c r="G765" s="5">
        <v>1.49</v>
      </c>
      <c r="H765" s="4">
        <v>0</v>
      </c>
    </row>
    <row r="766" spans="1:8" x14ac:dyDescent="0.15">
      <c r="A766" s="2" t="s">
        <v>62</v>
      </c>
      <c r="B766" s="4">
        <v>53</v>
      </c>
      <c r="C766" s="5">
        <v>12.62</v>
      </c>
      <c r="D766" s="4">
        <v>43</v>
      </c>
      <c r="E766" s="5">
        <v>15.09</v>
      </c>
      <c r="F766" s="4">
        <v>10</v>
      </c>
      <c r="G766" s="5">
        <v>7.46</v>
      </c>
      <c r="H766" s="4">
        <v>0</v>
      </c>
    </row>
    <row r="767" spans="1:8" x14ac:dyDescent="0.15">
      <c r="A767" s="2" t="s">
        <v>63</v>
      </c>
      <c r="B767" s="4">
        <v>22</v>
      </c>
      <c r="C767" s="5">
        <v>5.24</v>
      </c>
      <c r="D767" s="4">
        <v>21</v>
      </c>
      <c r="E767" s="5">
        <v>7.37</v>
      </c>
      <c r="F767" s="4">
        <v>1</v>
      </c>
      <c r="G767" s="5">
        <v>0.75</v>
      </c>
      <c r="H767" s="4">
        <v>0</v>
      </c>
    </row>
    <row r="768" spans="1:8" x14ac:dyDescent="0.15">
      <c r="A768" s="2" t="s">
        <v>64</v>
      </c>
      <c r="B768" s="4">
        <v>19</v>
      </c>
      <c r="C768" s="5">
        <v>4.5199999999999996</v>
      </c>
      <c r="D768" s="4">
        <v>15</v>
      </c>
      <c r="E768" s="5">
        <v>5.26</v>
      </c>
      <c r="F768" s="4">
        <v>4</v>
      </c>
      <c r="G768" s="5">
        <v>2.99</v>
      </c>
      <c r="H768" s="4">
        <v>0</v>
      </c>
    </row>
    <row r="769" spans="1:8" x14ac:dyDescent="0.15">
      <c r="A769" s="2" t="s">
        <v>65</v>
      </c>
      <c r="B769" s="4">
        <v>8</v>
      </c>
      <c r="C769" s="5">
        <v>1.9</v>
      </c>
      <c r="D769" s="4">
        <v>4</v>
      </c>
      <c r="E769" s="5">
        <v>1.4</v>
      </c>
      <c r="F769" s="4">
        <v>4</v>
      </c>
      <c r="G769" s="5">
        <v>2.99</v>
      </c>
      <c r="H769" s="4">
        <v>0</v>
      </c>
    </row>
    <row r="770" spans="1:8" x14ac:dyDescent="0.15">
      <c r="A770" s="1" t="s">
        <v>48</v>
      </c>
      <c r="B770" s="4">
        <v>592</v>
      </c>
      <c r="C770" s="5">
        <v>100.00999999999999</v>
      </c>
      <c r="D770" s="4">
        <v>441</v>
      </c>
      <c r="E770" s="5">
        <v>99.999999999999986</v>
      </c>
      <c r="F770" s="4">
        <v>150</v>
      </c>
      <c r="G770" s="5">
        <v>99.99</v>
      </c>
      <c r="H770" s="4">
        <v>1</v>
      </c>
    </row>
    <row r="771" spans="1:8" x14ac:dyDescent="0.15">
      <c r="A771" s="2" t="s">
        <v>51</v>
      </c>
      <c r="B771" s="4">
        <v>0</v>
      </c>
      <c r="C771" s="5">
        <v>0</v>
      </c>
      <c r="D771" s="4">
        <v>0</v>
      </c>
      <c r="E771" s="5">
        <v>0</v>
      </c>
      <c r="F771" s="4">
        <v>0</v>
      </c>
      <c r="G771" s="5">
        <v>0</v>
      </c>
      <c r="H771" s="4">
        <v>0</v>
      </c>
    </row>
    <row r="772" spans="1:8" x14ac:dyDescent="0.15">
      <c r="A772" s="2" t="s">
        <v>52</v>
      </c>
      <c r="B772" s="4">
        <v>143</v>
      </c>
      <c r="C772" s="5">
        <v>24.16</v>
      </c>
      <c r="D772" s="4">
        <v>94</v>
      </c>
      <c r="E772" s="5">
        <v>21.32</v>
      </c>
      <c r="F772" s="4">
        <v>49</v>
      </c>
      <c r="G772" s="5">
        <v>32.67</v>
      </c>
      <c r="H772" s="4">
        <v>0</v>
      </c>
    </row>
    <row r="773" spans="1:8" x14ac:dyDescent="0.15">
      <c r="A773" s="2" t="s">
        <v>53</v>
      </c>
      <c r="B773" s="4">
        <v>57</v>
      </c>
      <c r="C773" s="5">
        <v>9.6300000000000008</v>
      </c>
      <c r="D773" s="4">
        <v>32</v>
      </c>
      <c r="E773" s="5">
        <v>7.26</v>
      </c>
      <c r="F773" s="4">
        <v>24</v>
      </c>
      <c r="G773" s="5">
        <v>16</v>
      </c>
      <c r="H773" s="4">
        <v>1</v>
      </c>
    </row>
    <row r="774" spans="1:8" x14ac:dyDescent="0.15">
      <c r="A774" s="2" t="s">
        <v>54</v>
      </c>
      <c r="B774" s="4">
        <v>0</v>
      </c>
      <c r="C774" s="5">
        <v>0</v>
      </c>
      <c r="D774" s="4">
        <v>0</v>
      </c>
      <c r="E774" s="5">
        <v>0</v>
      </c>
      <c r="F774" s="4">
        <v>0</v>
      </c>
      <c r="G774" s="5">
        <v>0</v>
      </c>
      <c r="H774" s="4">
        <v>0</v>
      </c>
    </row>
    <row r="775" spans="1:8" x14ac:dyDescent="0.15">
      <c r="A775" s="2" t="s">
        <v>55</v>
      </c>
      <c r="B775" s="4">
        <v>2</v>
      </c>
      <c r="C775" s="5">
        <v>0.34</v>
      </c>
      <c r="D775" s="4">
        <v>0</v>
      </c>
      <c r="E775" s="5">
        <v>0</v>
      </c>
      <c r="F775" s="4">
        <v>2</v>
      </c>
      <c r="G775" s="5">
        <v>1.33</v>
      </c>
      <c r="H775" s="4">
        <v>0</v>
      </c>
    </row>
    <row r="776" spans="1:8" x14ac:dyDescent="0.15">
      <c r="A776" s="2" t="s">
        <v>56</v>
      </c>
      <c r="B776" s="4">
        <v>8</v>
      </c>
      <c r="C776" s="5">
        <v>1.35</v>
      </c>
      <c r="D776" s="4">
        <v>6</v>
      </c>
      <c r="E776" s="5">
        <v>1.36</v>
      </c>
      <c r="F776" s="4">
        <v>2</v>
      </c>
      <c r="G776" s="5">
        <v>1.33</v>
      </c>
      <c r="H776" s="4">
        <v>0</v>
      </c>
    </row>
    <row r="777" spans="1:8" x14ac:dyDescent="0.15">
      <c r="A777" s="2" t="s">
        <v>57</v>
      </c>
      <c r="B777" s="4">
        <v>164</v>
      </c>
      <c r="C777" s="5">
        <v>27.7</v>
      </c>
      <c r="D777" s="4">
        <v>128</v>
      </c>
      <c r="E777" s="5">
        <v>29.02</v>
      </c>
      <c r="F777" s="4">
        <v>36</v>
      </c>
      <c r="G777" s="5">
        <v>24</v>
      </c>
      <c r="H777" s="4">
        <v>0</v>
      </c>
    </row>
    <row r="778" spans="1:8" x14ac:dyDescent="0.15">
      <c r="A778" s="2" t="s">
        <v>58</v>
      </c>
      <c r="B778" s="4">
        <v>11</v>
      </c>
      <c r="C778" s="5">
        <v>1.86</v>
      </c>
      <c r="D778" s="4">
        <v>9</v>
      </c>
      <c r="E778" s="5">
        <v>2.04</v>
      </c>
      <c r="F778" s="4">
        <v>2</v>
      </c>
      <c r="G778" s="5">
        <v>1.33</v>
      </c>
      <c r="H778" s="4">
        <v>0</v>
      </c>
    </row>
    <row r="779" spans="1:8" x14ac:dyDescent="0.15">
      <c r="A779" s="2" t="s">
        <v>59</v>
      </c>
      <c r="B779" s="4">
        <v>11</v>
      </c>
      <c r="C779" s="5">
        <v>1.86</v>
      </c>
      <c r="D779" s="4">
        <v>6</v>
      </c>
      <c r="E779" s="5">
        <v>1.36</v>
      </c>
      <c r="F779" s="4">
        <v>5</v>
      </c>
      <c r="G779" s="5">
        <v>3.33</v>
      </c>
      <c r="H779" s="4">
        <v>0</v>
      </c>
    </row>
    <row r="780" spans="1:8" x14ac:dyDescent="0.15">
      <c r="A780" s="2" t="s">
        <v>60</v>
      </c>
      <c r="B780" s="4">
        <v>21</v>
      </c>
      <c r="C780" s="5">
        <v>3.55</v>
      </c>
      <c r="D780" s="4">
        <v>14</v>
      </c>
      <c r="E780" s="5">
        <v>3.17</v>
      </c>
      <c r="F780" s="4">
        <v>7</v>
      </c>
      <c r="G780" s="5">
        <v>4.67</v>
      </c>
      <c r="H780" s="4">
        <v>0</v>
      </c>
    </row>
    <row r="781" spans="1:8" x14ac:dyDescent="0.15">
      <c r="A781" s="2" t="s">
        <v>61</v>
      </c>
      <c r="B781" s="4">
        <v>56</v>
      </c>
      <c r="C781" s="5">
        <v>9.4600000000000009</v>
      </c>
      <c r="D781" s="4">
        <v>53</v>
      </c>
      <c r="E781" s="5">
        <v>12.02</v>
      </c>
      <c r="F781" s="4">
        <v>3</v>
      </c>
      <c r="G781" s="5">
        <v>2</v>
      </c>
      <c r="H781" s="4">
        <v>0</v>
      </c>
    </row>
    <row r="782" spans="1:8" x14ac:dyDescent="0.15">
      <c r="A782" s="2" t="s">
        <v>62</v>
      </c>
      <c r="B782" s="4">
        <v>67</v>
      </c>
      <c r="C782" s="5">
        <v>11.32</v>
      </c>
      <c r="D782" s="4">
        <v>65</v>
      </c>
      <c r="E782" s="5">
        <v>14.74</v>
      </c>
      <c r="F782" s="4">
        <v>2</v>
      </c>
      <c r="G782" s="5">
        <v>1.33</v>
      </c>
      <c r="H782" s="4">
        <v>0</v>
      </c>
    </row>
    <row r="783" spans="1:8" x14ac:dyDescent="0.15">
      <c r="A783" s="2" t="s">
        <v>63</v>
      </c>
      <c r="B783" s="4">
        <v>16</v>
      </c>
      <c r="C783" s="5">
        <v>2.7</v>
      </c>
      <c r="D783" s="4">
        <v>13</v>
      </c>
      <c r="E783" s="5">
        <v>2.95</v>
      </c>
      <c r="F783" s="4">
        <v>3</v>
      </c>
      <c r="G783" s="5">
        <v>2</v>
      </c>
      <c r="H783" s="4">
        <v>0</v>
      </c>
    </row>
    <row r="784" spans="1:8" x14ac:dyDescent="0.15">
      <c r="A784" s="2" t="s">
        <v>64</v>
      </c>
      <c r="B784" s="4">
        <v>15</v>
      </c>
      <c r="C784" s="5">
        <v>2.5299999999999998</v>
      </c>
      <c r="D784" s="4">
        <v>8</v>
      </c>
      <c r="E784" s="5">
        <v>1.81</v>
      </c>
      <c r="F784" s="4">
        <v>7</v>
      </c>
      <c r="G784" s="5">
        <v>4.67</v>
      </c>
      <c r="H784" s="4">
        <v>0</v>
      </c>
    </row>
    <row r="785" spans="1:8" x14ac:dyDescent="0.15">
      <c r="A785" s="2" t="s">
        <v>65</v>
      </c>
      <c r="B785" s="4">
        <v>21</v>
      </c>
      <c r="C785" s="5">
        <v>3.55</v>
      </c>
      <c r="D785" s="4">
        <v>13</v>
      </c>
      <c r="E785" s="5">
        <v>2.95</v>
      </c>
      <c r="F785" s="4">
        <v>8</v>
      </c>
      <c r="G785" s="5">
        <v>5.33</v>
      </c>
      <c r="H785" s="4">
        <v>0</v>
      </c>
    </row>
    <row r="786" spans="1:8" x14ac:dyDescent="0.15">
      <c r="A786" s="1" t="s">
        <v>49</v>
      </c>
      <c r="B786" s="4">
        <v>790</v>
      </c>
      <c r="C786" s="5">
        <v>99.999999999999986</v>
      </c>
      <c r="D786" s="4">
        <v>623</v>
      </c>
      <c r="E786" s="5">
        <v>99.990000000000009</v>
      </c>
      <c r="F786" s="4">
        <v>162</v>
      </c>
      <c r="G786" s="5">
        <v>100.00000000000001</v>
      </c>
      <c r="H786" s="4">
        <v>5</v>
      </c>
    </row>
    <row r="787" spans="1:8" x14ac:dyDescent="0.15">
      <c r="A787" s="2" t="s">
        <v>51</v>
      </c>
      <c r="B787" s="4">
        <v>1</v>
      </c>
      <c r="C787" s="5">
        <v>0.13</v>
      </c>
      <c r="D787" s="4">
        <v>0</v>
      </c>
      <c r="E787" s="5">
        <v>0</v>
      </c>
      <c r="F787" s="4">
        <v>1</v>
      </c>
      <c r="G787" s="5">
        <v>0.62</v>
      </c>
      <c r="H787" s="4">
        <v>0</v>
      </c>
    </row>
    <row r="788" spans="1:8" x14ac:dyDescent="0.15">
      <c r="A788" s="2" t="s">
        <v>52</v>
      </c>
      <c r="B788" s="4">
        <v>131</v>
      </c>
      <c r="C788" s="5">
        <v>16.579999999999998</v>
      </c>
      <c r="D788" s="4">
        <v>106</v>
      </c>
      <c r="E788" s="5">
        <v>17.010000000000002</v>
      </c>
      <c r="F788" s="4">
        <v>25</v>
      </c>
      <c r="G788" s="5">
        <v>15.43</v>
      </c>
      <c r="H788" s="4">
        <v>0</v>
      </c>
    </row>
    <row r="789" spans="1:8" x14ac:dyDescent="0.15">
      <c r="A789" s="2" t="s">
        <v>53</v>
      </c>
      <c r="B789" s="4">
        <v>103</v>
      </c>
      <c r="C789" s="5">
        <v>13.04</v>
      </c>
      <c r="D789" s="4">
        <v>50</v>
      </c>
      <c r="E789" s="5">
        <v>8.0299999999999994</v>
      </c>
      <c r="F789" s="4">
        <v>52</v>
      </c>
      <c r="G789" s="5">
        <v>32.1</v>
      </c>
      <c r="H789" s="4">
        <v>1</v>
      </c>
    </row>
    <row r="790" spans="1:8" x14ac:dyDescent="0.15">
      <c r="A790" s="2" t="s">
        <v>54</v>
      </c>
      <c r="B790" s="4">
        <v>1</v>
      </c>
      <c r="C790" s="5">
        <v>0.13</v>
      </c>
      <c r="D790" s="4">
        <v>0</v>
      </c>
      <c r="E790" s="5">
        <v>0</v>
      </c>
      <c r="F790" s="4">
        <v>1</v>
      </c>
      <c r="G790" s="5">
        <v>0.62</v>
      </c>
      <c r="H790" s="4">
        <v>0</v>
      </c>
    </row>
    <row r="791" spans="1:8" x14ac:dyDescent="0.15">
      <c r="A791" s="2" t="s">
        <v>55</v>
      </c>
      <c r="B791" s="4">
        <v>3</v>
      </c>
      <c r="C791" s="5">
        <v>0.38</v>
      </c>
      <c r="D791" s="4">
        <v>0</v>
      </c>
      <c r="E791" s="5">
        <v>0</v>
      </c>
      <c r="F791" s="4">
        <v>3</v>
      </c>
      <c r="G791" s="5">
        <v>1.85</v>
      </c>
      <c r="H791" s="4">
        <v>0</v>
      </c>
    </row>
    <row r="792" spans="1:8" x14ac:dyDescent="0.15">
      <c r="A792" s="2" t="s">
        <v>56</v>
      </c>
      <c r="B792" s="4">
        <v>10</v>
      </c>
      <c r="C792" s="5">
        <v>1.27</v>
      </c>
      <c r="D792" s="4">
        <v>2</v>
      </c>
      <c r="E792" s="5">
        <v>0.32</v>
      </c>
      <c r="F792" s="4">
        <v>6</v>
      </c>
      <c r="G792" s="5">
        <v>3.7</v>
      </c>
      <c r="H792" s="4">
        <v>2</v>
      </c>
    </row>
    <row r="793" spans="1:8" x14ac:dyDescent="0.15">
      <c r="A793" s="2" t="s">
        <v>57</v>
      </c>
      <c r="B793" s="4">
        <v>218</v>
      </c>
      <c r="C793" s="5">
        <v>27.59</v>
      </c>
      <c r="D793" s="4">
        <v>164</v>
      </c>
      <c r="E793" s="5">
        <v>26.32</v>
      </c>
      <c r="F793" s="4">
        <v>54</v>
      </c>
      <c r="G793" s="5">
        <v>33.33</v>
      </c>
      <c r="H793" s="4">
        <v>0</v>
      </c>
    </row>
    <row r="794" spans="1:8" x14ac:dyDescent="0.15">
      <c r="A794" s="2" t="s">
        <v>58</v>
      </c>
      <c r="B794" s="4">
        <v>0</v>
      </c>
      <c r="C794" s="5">
        <v>0</v>
      </c>
      <c r="D794" s="4">
        <v>0</v>
      </c>
      <c r="E794" s="5">
        <v>0</v>
      </c>
      <c r="F794" s="4">
        <v>0</v>
      </c>
      <c r="G794" s="5">
        <v>0</v>
      </c>
      <c r="H794" s="4">
        <v>0</v>
      </c>
    </row>
    <row r="795" spans="1:8" x14ac:dyDescent="0.15">
      <c r="A795" s="2" t="s">
        <v>59</v>
      </c>
      <c r="B795" s="4">
        <v>12</v>
      </c>
      <c r="C795" s="5">
        <v>1.52</v>
      </c>
      <c r="D795" s="4">
        <v>7</v>
      </c>
      <c r="E795" s="5">
        <v>1.1200000000000001</v>
      </c>
      <c r="F795" s="4">
        <v>5</v>
      </c>
      <c r="G795" s="5">
        <v>3.09</v>
      </c>
      <c r="H795" s="4">
        <v>0</v>
      </c>
    </row>
    <row r="796" spans="1:8" x14ac:dyDescent="0.15">
      <c r="A796" s="2" t="s">
        <v>60</v>
      </c>
      <c r="B796" s="4">
        <v>22</v>
      </c>
      <c r="C796" s="5">
        <v>2.78</v>
      </c>
      <c r="D796" s="4">
        <v>21</v>
      </c>
      <c r="E796" s="5">
        <v>3.37</v>
      </c>
      <c r="F796" s="4">
        <v>1</v>
      </c>
      <c r="G796" s="5">
        <v>0.62</v>
      </c>
      <c r="H796" s="4">
        <v>0</v>
      </c>
    </row>
    <row r="797" spans="1:8" x14ac:dyDescent="0.15">
      <c r="A797" s="2" t="s">
        <v>61</v>
      </c>
      <c r="B797" s="4">
        <v>156</v>
      </c>
      <c r="C797" s="5">
        <v>19.75</v>
      </c>
      <c r="D797" s="4">
        <v>151</v>
      </c>
      <c r="E797" s="5">
        <v>24.24</v>
      </c>
      <c r="F797" s="4">
        <v>5</v>
      </c>
      <c r="G797" s="5">
        <v>3.09</v>
      </c>
      <c r="H797" s="4">
        <v>0</v>
      </c>
    </row>
    <row r="798" spans="1:8" x14ac:dyDescent="0.15">
      <c r="A798" s="2" t="s">
        <v>62</v>
      </c>
      <c r="B798" s="4">
        <v>75</v>
      </c>
      <c r="C798" s="5">
        <v>9.49</v>
      </c>
      <c r="D798" s="4">
        <v>71</v>
      </c>
      <c r="E798" s="5">
        <v>11.4</v>
      </c>
      <c r="F798" s="4">
        <v>3</v>
      </c>
      <c r="G798" s="5">
        <v>1.85</v>
      </c>
      <c r="H798" s="4">
        <v>1</v>
      </c>
    </row>
    <row r="799" spans="1:8" x14ac:dyDescent="0.15">
      <c r="A799" s="2" t="s">
        <v>63</v>
      </c>
      <c r="B799" s="4">
        <v>31</v>
      </c>
      <c r="C799" s="5">
        <v>3.92</v>
      </c>
      <c r="D799" s="4">
        <v>29</v>
      </c>
      <c r="E799" s="5">
        <v>4.6500000000000004</v>
      </c>
      <c r="F799" s="4">
        <v>1</v>
      </c>
      <c r="G799" s="5">
        <v>0.62</v>
      </c>
      <c r="H799" s="4">
        <v>1</v>
      </c>
    </row>
    <row r="800" spans="1:8" x14ac:dyDescent="0.15">
      <c r="A800" s="2" t="s">
        <v>64</v>
      </c>
      <c r="B800" s="4">
        <v>17</v>
      </c>
      <c r="C800" s="5">
        <v>2.15</v>
      </c>
      <c r="D800" s="4">
        <v>14</v>
      </c>
      <c r="E800" s="5">
        <v>2.25</v>
      </c>
      <c r="F800" s="4">
        <v>3</v>
      </c>
      <c r="G800" s="5">
        <v>1.85</v>
      </c>
      <c r="H800" s="4">
        <v>0</v>
      </c>
    </row>
    <row r="801" spans="1:8" x14ac:dyDescent="0.15">
      <c r="A801" s="2" t="s">
        <v>65</v>
      </c>
      <c r="B801" s="4">
        <v>10</v>
      </c>
      <c r="C801" s="5">
        <v>1.27</v>
      </c>
      <c r="D801" s="4">
        <v>8</v>
      </c>
      <c r="E801" s="5">
        <v>1.28</v>
      </c>
      <c r="F801" s="4">
        <v>2</v>
      </c>
      <c r="G801" s="5">
        <v>1.23</v>
      </c>
      <c r="H801" s="4">
        <v>0</v>
      </c>
    </row>
    <row r="802" spans="1:8" x14ac:dyDescent="0.15">
      <c r="A802" s="1" t="s">
        <v>50</v>
      </c>
      <c r="B802" s="4">
        <v>460</v>
      </c>
      <c r="C802" s="5">
        <v>100.00999999999999</v>
      </c>
      <c r="D802" s="4">
        <v>344</v>
      </c>
      <c r="E802" s="5">
        <v>99.99</v>
      </c>
      <c r="F802" s="4">
        <v>113</v>
      </c>
      <c r="G802" s="5">
        <v>99.97999999999999</v>
      </c>
      <c r="H802" s="4">
        <v>3</v>
      </c>
    </row>
    <row r="803" spans="1:8" x14ac:dyDescent="0.15">
      <c r="A803" s="2" t="s">
        <v>51</v>
      </c>
      <c r="B803" s="4">
        <v>0</v>
      </c>
      <c r="C803" s="5">
        <v>0</v>
      </c>
      <c r="D803" s="4">
        <v>0</v>
      </c>
      <c r="E803" s="5">
        <v>0</v>
      </c>
      <c r="F803" s="4">
        <v>0</v>
      </c>
      <c r="G803" s="5">
        <v>0</v>
      </c>
      <c r="H803" s="4">
        <v>0</v>
      </c>
    </row>
    <row r="804" spans="1:8" x14ac:dyDescent="0.15">
      <c r="A804" s="2" t="s">
        <v>52</v>
      </c>
      <c r="B804" s="4">
        <v>90</v>
      </c>
      <c r="C804" s="5">
        <v>19.57</v>
      </c>
      <c r="D804" s="4">
        <v>50</v>
      </c>
      <c r="E804" s="5">
        <v>14.53</v>
      </c>
      <c r="F804" s="4">
        <v>40</v>
      </c>
      <c r="G804" s="5">
        <v>35.4</v>
      </c>
      <c r="H804" s="4">
        <v>0</v>
      </c>
    </row>
    <row r="805" spans="1:8" x14ac:dyDescent="0.15">
      <c r="A805" s="2" t="s">
        <v>53</v>
      </c>
      <c r="B805" s="4">
        <v>31</v>
      </c>
      <c r="C805" s="5">
        <v>6.74</v>
      </c>
      <c r="D805" s="4">
        <v>21</v>
      </c>
      <c r="E805" s="5">
        <v>6.1</v>
      </c>
      <c r="F805" s="4">
        <v>10</v>
      </c>
      <c r="G805" s="5">
        <v>8.85</v>
      </c>
      <c r="H805" s="4">
        <v>0</v>
      </c>
    </row>
    <row r="806" spans="1:8" x14ac:dyDescent="0.15">
      <c r="A806" s="2" t="s">
        <v>54</v>
      </c>
      <c r="B806" s="4">
        <v>0</v>
      </c>
      <c r="C806" s="5">
        <v>0</v>
      </c>
      <c r="D806" s="4">
        <v>0</v>
      </c>
      <c r="E806" s="5">
        <v>0</v>
      </c>
      <c r="F806" s="4">
        <v>0</v>
      </c>
      <c r="G806" s="5">
        <v>0</v>
      </c>
      <c r="H806" s="4">
        <v>0</v>
      </c>
    </row>
    <row r="807" spans="1:8" x14ac:dyDescent="0.15">
      <c r="A807" s="2" t="s">
        <v>55</v>
      </c>
      <c r="B807" s="4">
        <v>1</v>
      </c>
      <c r="C807" s="5">
        <v>0.22</v>
      </c>
      <c r="D807" s="4">
        <v>0</v>
      </c>
      <c r="E807" s="5">
        <v>0</v>
      </c>
      <c r="F807" s="4">
        <v>1</v>
      </c>
      <c r="G807" s="5">
        <v>0.88</v>
      </c>
      <c r="H807" s="4">
        <v>0</v>
      </c>
    </row>
    <row r="808" spans="1:8" x14ac:dyDescent="0.15">
      <c r="A808" s="2" t="s">
        <v>56</v>
      </c>
      <c r="B808" s="4">
        <v>7</v>
      </c>
      <c r="C808" s="5">
        <v>1.52</v>
      </c>
      <c r="D808" s="4">
        <v>4</v>
      </c>
      <c r="E808" s="5">
        <v>1.1599999999999999</v>
      </c>
      <c r="F808" s="4">
        <v>1</v>
      </c>
      <c r="G808" s="5">
        <v>0.88</v>
      </c>
      <c r="H808" s="4">
        <v>2</v>
      </c>
    </row>
    <row r="809" spans="1:8" x14ac:dyDescent="0.15">
      <c r="A809" s="2" t="s">
        <v>57</v>
      </c>
      <c r="B809" s="4">
        <v>132</v>
      </c>
      <c r="C809" s="5">
        <v>28.7</v>
      </c>
      <c r="D809" s="4">
        <v>98</v>
      </c>
      <c r="E809" s="5">
        <v>28.49</v>
      </c>
      <c r="F809" s="4">
        <v>34</v>
      </c>
      <c r="G809" s="5">
        <v>30.09</v>
      </c>
      <c r="H809" s="4">
        <v>0</v>
      </c>
    </row>
    <row r="810" spans="1:8" x14ac:dyDescent="0.15">
      <c r="A810" s="2" t="s">
        <v>58</v>
      </c>
      <c r="B810" s="4">
        <v>1</v>
      </c>
      <c r="C810" s="5">
        <v>0.22</v>
      </c>
      <c r="D810" s="4">
        <v>0</v>
      </c>
      <c r="E810" s="5">
        <v>0</v>
      </c>
      <c r="F810" s="4">
        <v>1</v>
      </c>
      <c r="G810" s="5">
        <v>0.88</v>
      </c>
      <c r="H810" s="4">
        <v>0</v>
      </c>
    </row>
    <row r="811" spans="1:8" x14ac:dyDescent="0.15">
      <c r="A811" s="2" t="s">
        <v>59</v>
      </c>
      <c r="B811" s="4">
        <v>19</v>
      </c>
      <c r="C811" s="5">
        <v>4.13</v>
      </c>
      <c r="D811" s="4">
        <v>12</v>
      </c>
      <c r="E811" s="5">
        <v>3.49</v>
      </c>
      <c r="F811" s="4">
        <v>7</v>
      </c>
      <c r="G811" s="5">
        <v>6.19</v>
      </c>
      <c r="H811" s="4">
        <v>0</v>
      </c>
    </row>
    <row r="812" spans="1:8" x14ac:dyDescent="0.15">
      <c r="A812" s="2" t="s">
        <v>60</v>
      </c>
      <c r="B812" s="4">
        <v>15</v>
      </c>
      <c r="C812" s="5">
        <v>3.26</v>
      </c>
      <c r="D812" s="4">
        <v>13</v>
      </c>
      <c r="E812" s="5">
        <v>3.78</v>
      </c>
      <c r="F812" s="4">
        <v>2</v>
      </c>
      <c r="G812" s="5">
        <v>1.77</v>
      </c>
      <c r="H812" s="4">
        <v>0</v>
      </c>
    </row>
    <row r="813" spans="1:8" x14ac:dyDescent="0.15">
      <c r="A813" s="2" t="s">
        <v>61</v>
      </c>
      <c r="B813" s="4">
        <v>79</v>
      </c>
      <c r="C813" s="5">
        <v>17.170000000000002</v>
      </c>
      <c r="D813" s="4">
        <v>71</v>
      </c>
      <c r="E813" s="5">
        <v>20.64</v>
      </c>
      <c r="F813" s="4">
        <v>8</v>
      </c>
      <c r="G813" s="5">
        <v>7.08</v>
      </c>
      <c r="H813" s="4">
        <v>0</v>
      </c>
    </row>
    <row r="814" spans="1:8" x14ac:dyDescent="0.15">
      <c r="A814" s="2" t="s">
        <v>62</v>
      </c>
      <c r="B814" s="4">
        <v>53</v>
      </c>
      <c r="C814" s="5">
        <v>11.52</v>
      </c>
      <c r="D814" s="4">
        <v>50</v>
      </c>
      <c r="E814" s="5">
        <v>14.53</v>
      </c>
      <c r="F814" s="4">
        <v>2</v>
      </c>
      <c r="G814" s="5">
        <v>1.77</v>
      </c>
      <c r="H814" s="4">
        <v>1</v>
      </c>
    </row>
    <row r="815" spans="1:8" x14ac:dyDescent="0.15">
      <c r="A815" s="2" t="s">
        <v>63</v>
      </c>
      <c r="B815" s="4">
        <v>9</v>
      </c>
      <c r="C815" s="5">
        <v>1.96</v>
      </c>
      <c r="D815" s="4">
        <v>8</v>
      </c>
      <c r="E815" s="5">
        <v>2.33</v>
      </c>
      <c r="F815" s="4">
        <v>1</v>
      </c>
      <c r="G815" s="5">
        <v>0.88</v>
      </c>
      <c r="H815" s="4">
        <v>0</v>
      </c>
    </row>
    <row r="816" spans="1:8" x14ac:dyDescent="0.15">
      <c r="A816" s="2" t="s">
        <v>64</v>
      </c>
      <c r="B816" s="4">
        <v>9</v>
      </c>
      <c r="C816" s="5">
        <v>1.96</v>
      </c>
      <c r="D816" s="4">
        <v>7</v>
      </c>
      <c r="E816" s="5">
        <v>2.0299999999999998</v>
      </c>
      <c r="F816" s="4">
        <v>2</v>
      </c>
      <c r="G816" s="5">
        <v>1.77</v>
      </c>
      <c r="H816" s="4">
        <v>0</v>
      </c>
    </row>
    <row r="817" spans="1:8" x14ac:dyDescent="0.15">
      <c r="A817" s="2" t="s">
        <v>65</v>
      </c>
      <c r="B817" s="4">
        <v>14</v>
      </c>
      <c r="C817" s="5">
        <v>3.04</v>
      </c>
      <c r="D817" s="4">
        <v>10</v>
      </c>
      <c r="E817" s="5">
        <v>2.91</v>
      </c>
      <c r="F817" s="4">
        <v>4</v>
      </c>
      <c r="G817" s="5">
        <v>3.54</v>
      </c>
      <c r="H817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282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1</v>
      </c>
      <c r="D5" s="8">
        <v>0.06</v>
      </c>
      <c r="E5" s="12">
        <v>0</v>
      </c>
      <c r="F5" s="8">
        <v>0</v>
      </c>
      <c r="G5" s="12">
        <v>1</v>
      </c>
      <c r="H5" s="8">
        <v>0.21</v>
      </c>
      <c r="I5" s="12">
        <v>0</v>
      </c>
    </row>
    <row r="6" spans="2:9" ht="15" customHeight="1" x14ac:dyDescent="0.15">
      <c r="B6" t="s">
        <v>52</v>
      </c>
      <c r="C6" s="12">
        <v>160</v>
      </c>
      <c r="D6" s="8">
        <v>10.34</v>
      </c>
      <c r="E6" s="12">
        <v>79</v>
      </c>
      <c r="F6" s="8">
        <v>7.38</v>
      </c>
      <c r="G6" s="12">
        <v>81</v>
      </c>
      <c r="H6" s="8">
        <v>17.05</v>
      </c>
      <c r="I6" s="12">
        <v>0</v>
      </c>
    </row>
    <row r="7" spans="2:9" ht="15" customHeight="1" x14ac:dyDescent="0.15">
      <c r="B7" t="s">
        <v>53</v>
      </c>
      <c r="C7" s="12">
        <v>116</v>
      </c>
      <c r="D7" s="8">
        <v>7.49</v>
      </c>
      <c r="E7" s="12">
        <v>71</v>
      </c>
      <c r="F7" s="8">
        <v>6.63</v>
      </c>
      <c r="G7" s="12">
        <v>45</v>
      </c>
      <c r="H7" s="8">
        <v>9.4700000000000006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12</v>
      </c>
      <c r="D9" s="8">
        <v>0.78</v>
      </c>
      <c r="E9" s="12">
        <v>2</v>
      </c>
      <c r="F9" s="8">
        <v>0.19</v>
      </c>
      <c r="G9" s="12">
        <v>10</v>
      </c>
      <c r="H9" s="8">
        <v>2.11</v>
      </c>
      <c r="I9" s="12">
        <v>0</v>
      </c>
    </row>
    <row r="10" spans="2:9" ht="15" customHeight="1" x14ac:dyDescent="0.15">
      <c r="B10" t="s">
        <v>56</v>
      </c>
      <c r="C10" s="12">
        <v>15</v>
      </c>
      <c r="D10" s="8">
        <v>0.97</v>
      </c>
      <c r="E10" s="12">
        <v>4</v>
      </c>
      <c r="F10" s="8">
        <v>0.37</v>
      </c>
      <c r="G10" s="12">
        <v>11</v>
      </c>
      <c r="H10" s="8">
        <v>2.3199999999999998</v>
      </c>
      <c r="I10" s="12">
        <v>0</v>
      </c>
    </row>
    <row r="11" spans="2:9" ht="15" customHeight="1" x14ac:dyDescent="0.15">
      <c r="B11" t="s">
        <v>57</v>
      </c>
      <c r="C11" s="12">
        <v>436</v>
      </c>
      <c r="D11" s="8">
        <v>28.17</v>
      </c>
      <c r="E11" s="12">
        <v>288</v>
      </c>
      <c r="F11" s="8">
        <v>26.89</v>
      </c>
      <c r="G11" s="12">
        <v>148</v>
      </c>
      <c r="H11" s="8">
        <v>31.16</v>
      </c>
      <c r="I11" s="12">
        <v>0</v>
      </c>
    </row>
    <row r="12" spans="2:9" ht="15" customHeight="1" x14ac:dyDescent="0.15">
      <c r="B12" t="s">
        <v>58</v>
      </c>
      <c r="C12" s="12">
        <v>13</v>
      </c>
      <c r="D12" s="8">
        <v>0.84</v>
      </c>
      <c r="E12" s="12">
        <v>2</v>
      </c>
      <c r="F12" s="8">
        <v>0.19</v>
      </c>
      <c r="G12" s="12">
        <v>11</v>
      </c>
      <c r="H12" s="8">
        <v>2.3199999999999998</v>
      </c>
      <c r="I12" s="12">
        <v>0</v>
      </c>
    </row>
    <row r="13" spans="2:9" ht="15" customHeight="1" x14ac:dyDescent="0.15">
      <c r="B13" t="s">
        <v>59</v>
      </c>
      <c r="C13" s="12">
        <v>140</v>
      </c>
      <c r="D13" s="8">
        <v>9.0399999999999991</v>
      </c>
      <c r="E13" s="12">
        <v>83</v>
      </c>
      <c r="F13" s="8">
        <v>7.75</v>
      </c>
      <c r="G13" s="12">
        <v>57</v>
      </c>
      <c r="H13" s="8">
        <v>12</v>
      </c>
      <c r="I13" s="12">
        <v>0</v>
      </c>
    </row>
    <row r="14" spans="2:9" ht="15" customHeight="1" x14ac:dyDescent="0.15">
      <c r="B14" t="s">
        <v>60</v>
      </c>
      <c r="C14" s="12">
        <v>66</v>
      </c>
      <c r="D14" s="8">
        <v>4.26</v>
      </c>
      <c r="E14" s="12">
        <v>49</v>
      </c>
      <c r="F14" s="8">
        <v>4.58</v>
      </c>
      <c r="G14" s="12">
        <v>17</v>
      </c>
      <c r="H14" s="8">
        <v>3.58</v>
      </c>
      <c r="I14" s="12">
        <v>0</v>
      </c>
    </row>
    <row r="15" spans="2:9" ht="15" customHeight="1" x14ac:dyDescent="0.15">
      <c r="B15" t="s">
        <v>61</v>
      </c>
      <c r="C15" s="12">
        <v>241</v>
      </c>
      <c r="D15" s="8">
        <v>15.57</v>
      </c>
      <c r="E15" s="12">
        <v>222</v>
      </c>
      <c r="F15" s="8">
        <v>20.73</v>
      </c>
      <c r="G15" s="12">
        <v>19</v>
      </c>
      <c r="H15" s="8">
        <v>4</v>
      </c>
      <c r="I15" s="12">
        <v>0</v>
      </c>
    </row>
    <row r="16" spans="2:9" ht="15" customHeight="1" x14ac:dyDescent="0.15">
      <c r="B16" t="s">
        <v>62</v>
      </c>
      <c r="C16" s="12">
        <v>173</v>
      </c>
      <c r="D16" s="8">
        <v>11.18</v>
      </c>
      <c r="E16" s="12">
        <v>152</v>
      </c>
      <c r="F16" s="8">
        <v>14.19</v>
      </c>
      <c r="G16" s="12">
        <v>21</v>
      </c>
      <c r="H16" s="8">
        <v>4.42</v>
      </c>
      <c r="I16" s="12">
        <v>0</v>
      </c>
    </row>
    <row r="17" spans="2:9" ht="15" customHeight="1" x14ac:dyDescent="0.15">
      <c r="B17" t="s">
        <v>63</v>
      </c>
      <c r="C17" s="12">
        <v>48</v>
      </c>
      <c r="D17" s="8">
        <v>3.1</v>
      </c>
      <c r="E17" s="12">
        <v>42</v>
      </c>
      <c r="F17" s="8">
        <v>3.92</v>
      </c>
      <c r="G17" s="12">
        <v>6</v>
      </c>
      <c r="H17" s="8">
        <v>1.26</v>
      </c>
      <c r="I17" s="12">
        <v>0</v>
      </c>
    </row>
    <row r="18" spans="2:9" ht="15" customHeight="1" x14ac:dyDescent="0.15">
      <c r="B18" t="s">
        <v>64</v>
      </c>
      <c r="C18" s="12">
        <v>67</v>
      </c>
      <c r="D18" s="8">
        <v>4.33</v>
      </c>
      <c r="E18" s="12">
        <v>46</v>
      </c>
      <c r="F18" s="8">
        <v>4.3</v>
      </c>
      <c r="G18" s="12">
        <v>21</v>
      </c>
      <c r="H18" s="8">
        <v>4.42</v>
      </c>
      <c r="I18" s="12">
        <v>0</v>
      </c>
    </row>
    <row r="19" spans="2:9" ht="15" customHeight="1" x14ac:dyDescent="0.15">
      <c r="B19" t="s">
        <v>65</v>
      </c>
      <c r="C19" s="12">
        <v>60</v>
      </c>
      <c r="D19" s="8">
        <v>3.88</v>
      </c>
      <c r="E19" s="12">
        <v>31</v>
      </c>
      <c r="F19" s="8">
        <v>2.89</v>
      </c>
      <c r="G19" s="12">
        <v>27</v>
      </c>
      <c r="H19" s="8">
        <v>5.68</v>
      </c>
      <c r="I19" s="12">
        <v>2</v>
      </c>
    </row>
    <row r="20" spans="2:9" ht="15" customHeight="1" x14ac:dyDescent="0.15">
      <c r="B20" s="9" t="s">
        <v>215</v>
      </c>
      <c r="C20" s="12">
        <f>SUM(LTBL_28205[総数／事業所数])</f>
        <v>1548</v>
      </c>
      <c r="E20" s="12">
        <f>SUBTOTAL(109,LTBL_28205[個人／事業所数])</f>
        <v>1071</v>
      </c>
      <c r="G20" s="12">
        <f>SUBTOTAL(109,LTBL_28205[法人／事業所数])</f>
        <v>475</v>
      </c>
      <c r="I20" s="12">
        <f>SUBTOTAL(109,LTBL_28205[法人以外の団体／事業所数])</f>
        <v>2</v>
      </c>
    </row>
    <row r="21" spans="2:9" ht="15" customHeight="1" x14ac:dyDescent="0.15">
      <c r="E21" s="11">
        <f>LTBL_28205[[#Totals],[個人／事業所数]]/LTBL_28205[[#Totals],[総数／事業所数]]</f>
        <v>0.69186046511627908</v>
      </c>
      <c r="G21" s="11">
        <f>LTBL_28205[[#Totals],[法人／事業所数]]/LTBL_28205[[#Totals],[総数／事業所数]]</f>
        <v>0.30684754521963825</v>
      </c>
      <c r="I21" s="11">
        <f>LTBL_28205[[#Totals],[法人以外の団体／事業所数]]/LTBL_28205[[#Totals],[総数／事業所数]]</f>
        <v>1.2919896640826874E-3</v>
      </c>
    </row>
    <row r="23" spans="2:9" ht="33" customHeight="1" x14ac:dyDescent="0.15">
      <c r="B23" t="s">
        <v>214</v>
      </c>
      <c r="C23" s="10" t="s">
        <v>67</v>
      </c>
      <c r="D23" s="10" t="s">
        <v>283</v>
      </c>
      <c r="E23" s="10" t="s">
        <v>69</v>
      </c>
      <c r="F23" s="10" t="s">
        <v>284</v>
      </c>
      <c r="G23" s="10" t="s">
        <v>71</v>
      </c>
      <c r="H23" s="10" t="s">
        <v>223</v>
      </c>
      <c r="I23" s="10" t="s">
        <v>73</v>
      </c>
    </row>
    <row r="24" spans="2:9" ht="15" customHeight="1" x14ac:dyDescent="0.15">
      <c r="B24" t="s">
        <v>217</v>
      </c>
      <c r="C24">
        <v>8</v>
      </c>
      <c r="D24" t="s">
        <v>216</v>
      </c>
      <c r="E24">
        <v>0</v>
      </c>
      <c r="F24" t="s">
        <v>218</v>
      </c>
      <c r="G24">
        <v>8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229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89</v>
      </c>
      <c r="C29" s="12">
        <v>204</v>
      </c>
      <c r="D29" s="8">
        <v>13.18</v>
      </c>
      <c r="E29" s="12">
        <v>196</v>
      </c>
      <c r="F29" s="8">
        <v>18.3</v>
      </c>
      <c r="G29" s="12">
        <v>8</v>
      </c>
      <c r="H29" s="8">
        <v>1.68</v>
      </c>
      <c r="I29" s="12">
        <v>0</v>
      </c>
    </row>
    <row r="30" spans="2:9" ht="15" customHeight="1" x14ac:dyDescent="0.15">
      <c r="B30" t="s">
        <v>90</v>
      </c>
      <c r="C30" s="12">
        <v>150</v>
      </c>
      <c r="D30" s="8">
        <v>9.69</v>
      </c>
      <c r="E30" s="12">
        <v>138</v>
      </c>
      <c r="F30" s="8">
        <v>12.89</v>
      </c>
      <c r="G30" s="12">
        <v>12</v>
      </c>
      <c r="H30" s="8">
        <v>2.5299999999999998</v>
      </c>
      <c r="I30" s="12">
        <v>0</v>
      </c>
    </row>
    <row r="31" spans="2:9" ht="15" customHeight="1" x14ac:dyDescent="0.15">
      <c r="B31" t="s">
        <v>84</v>
      </c>
      <c r="C31" s="12">
        <v>136</v>
      </c>
      <c r="D31" s="8">
        <v>8.7899999999999991</v>
      </c>
      <c r="E31" s="12">
        <v>85</v>
      </c>
      <c r="F31" s="8">
        <v>7.94</v>
      </c>
      <c r="G31" s="12">
        <v>51</v>
      </c>
      <c r="H31" s="8">
        <v>10.74</v>
      </c>
      <c r="I31" s="12">
        <v>0</v>
      </c>
    </row>
    <row r="32" spans="2:9" ht="15" customHeight="1" x14ac:dyDescent="0.15">
      <c r="B32" t="s">
        <v>86</v>
      </c>
      <c r="C32" s="12">
        <v>128</v>
      </c>
      <c r="D32" s="8">
        <v>8.27</v>
      </c>
      <c r="E32" s="12">
        <v>82</v>
      </c>
      <c r="F32" s="8">
        <v>7.66</v>
      </c>
      <c r="G32" s="12">
        <v>46</v>
      </c>
      <c r="H32" s="8">
        <v>9.68</v>
      </c>
      <c r="I32" s="12">
        <v>0</v>
      </c>
    </row>
    <row r="33" spans="2:9" ht="15" customHeight="1" x14ac:dyDescent="0.15">
      <c r="B33" t="s">
        <v>82</v>
      </c>
      <c r="C33" s="12">
        <v>101</v>
      </c>
      <c r="D33" s="8">
        <v>6.52</v>
      </c>
      <c r="E33" s="12">
        <v>87</v>
      </c>
      <c r="F33" s="8">
        <v>8.1199999999999992</v>
      </c>
      <c r="G33" s="12">
        <v>14</v>
      </c>
      <c r="H33" s="8">
        <v>2.95</v>
      </c>
      <c r="I33" s="12">
        <v>0</v>
      </c>
    </row>
    <row r="34" spans="2:9" ht="15" customHeight="1" x14ac:dyDescent="0.15">
      <c r="B34" t="s">
        <v>81</v>
      </c>
      <c r="C34" s="12">
        <v>68</v>
      </c>
      <c r="D34" s="8">
        <v>4.3899999999999997</v>
      </c>
      <c r="E34" s="12">
        <v>46</v>
      </c>
      <c r="F34" s="8">
        <v>4.3</v>
      </c>
      <c r="G34" s="12">
        <v>22</v>
      </c>
      <c r="H34" s="8">
        <v>4.63</v>
      </c>
      <c r="I34" s="12">
        <v>0</v>
      </c>
    </row>
    <row r="35" spans="2:9" ht="15" customHeight="1" x14ac:dyDescent="0.15">
      <c r="B35" t="s">
        <v>74</v>
      </c>
      <c r="C35" s="12">
        <v>66</v>
      </c>
      <c r="D35" s="8">
        <v>4.26</v>
      </c>
      <c r="E35" s="12">
        <v>26</v>
      </c>
      <c r="F35" s="8">
        <v>2.4300000000000002</v>
      </c>
      <c r="G35" s="12">
        <v>40</v>
      </c>
      <c r="H35" s="8">
        <v>8.42</v>
      </c>
      <c r="I35" s="12">
        <v>0</v>
      </c>
    </row>
    <row r="36" spans="2:9" ht="15" customHeight="1" x14ac:dyDescent="0.15">
      <c r="B36" t="s">
        <v>75</v>
      </c>
      <c r="C36" s="12">
        <v>50</v>
      </c>
      <c r="D36" s="8">
        <v>3.23</v>
      </c>
      <c r="E36" s="12">
        <v>31</v>
      </c>
      <c r="F36" s="8">
        <v>2.89</v>
      </c>
      <c r="G36" s="12">
        <v>19</v>
      </c>
      <c r="H36" s="8">
        <v>4</v>
      </c>
      <c r="I36" s="12">
        <v>0</v>
      </c>
    </row>
    <row r="37" spans="2:9" ht="15" customHeight="1" x14ac:dyDescent="0.15">
      <c r="B37" t="s">
        <v>92</v>
      </c>
      <c r="C37" s="12">
        <v>48</v>
      </c>
      <c r="D37" s="8">
        <v>3.1</v>
      </c>
      <c r="E37" s="12">
        <v>42</v>
      </c>
      <c r="F37" s="8">
        <v>3.92</v>
      </c>
      <c r="G37" s="12">
        <v>6</v>
      </c>
      <c r="H37" s="8">
        <v>1.26</v>
      </c>
      <c r="I37" s="12">
        <v>0</v>
      </c>
    </row>
    <row r="38" spans="2:9" ht="15" customHeight="1" x14ac:dyDescent="0.15">
      <c r="B38" t="s">
        <v>93</v>
      </c>
      <c r="C38" s="12">
        <v>47</v>
      </c>
      <c r="D38" s="8">
        <v>3.04</v>
      </c>
      <c r="E38" s="12">
        <v>45</v>
      </c>
      <c r="F38" s="8">
        <v>4.2</v>
      </c>
      <c r="G38" s="12">
        <v>2</v>
      </c>
      <c r="H38" s="8">
        <v>0.42</v>
      </c>
      <c r="I38" s="12">
        <v>0</v>
      </c>
    </row>
    <row r="39" spans="2:9" ht="15" customHeight="1" x14ac:dyDescent="0.15">
      <c r="B39" t="s">
        <v>83</v>
      </c>
      <c r="C39" s="12">
        <v>46</v>
      </c>
      <c r="D39" s="8">
        <v>2.97</v>
      </c>
      <c r="E39" s="12">
        <v>37</v>
      </c>
      <c r="F39" s="8">
        <v>3.45</v>
      </c>
      <c r="G39" s="12">
        <v>9</v>
      </c>
      <c r="H39" s="8">
        <v>1.89</v>
      </c>
      <c r="I39" s="12">
        <v>0</v>
      </c>
    </row>
    <row r="40" spans="2:9" ht="15" customHeight="1" x14ac:dyDescent="0.15">
      <c r="B40" t="s">
        <v>76</v>
      </c>
      <c r="C40" s="12">
        <v>44</v>
      </c>
      <c r="D40" s="8">
        <v>2.84</v>
      </c>
      <c r="E40" s="12">
        <v>22</v>
      </c>
      <c r="F40" s="8">
        <v>2.0499999999999998</v>
      </c>
      <c r="G40" s="12">
        <v>22</v>
      </c>
      <c r="H40" s="8">
        <v>4.63</v>
      </c>
      <c r="I40" s="12">
        <v>0</v>
      </c>
    </row>
    <row r="41" spans="2:9" ht="15" customHeight="1" x14ac:dyDescent="0.15">
      <c r="B41" t="s">
        <v>88</v>
      </c>
      <c r="C41" s="12">
        <v>35</v>
      </c>
      <c r="D41" s="8">
        <v>2.2599999999999998</v>
      </c>
      <c r="E41" s="12">
        <v>23</v>
      </c>
      <c r="F41" s="8">
        <v>2.15</v>
      </c>
      <c r="G41" s="12">
        <v>12</v>
      </c>
      <c r="H41" s="8">
        <v>2.5299999999999998</v>
      </c>
      <c r="I41" s="12">
        <v>0</v>
      </c>
    </row>
    <row r="42" spans="2:9" ht="15" customHeight="1" x14ac:dyDescent="0.15">
      <c r="B42" t="s">
        <v>106</v>
      </c>
      <c r="C42" s="12">
        <v>30</v>
      </c>
      <c r="D42" s="8">
        <v>1.94</v>
      </c>
      <c r="E42" s="12">
        <v>24</v>
      </c>
      <c r="F42" s="8">
        <v>2.2400000000000002</v>
      </c>
      <c r="G42" s="12">
        <v>5</v>
      </c>
      <c r="H42" s="8">
        <v>1.05</v>
      </c>
      <c r="I42" s="12">
        <v>1</v>
      </c>
    </row>
    <row r="43" spans="2:9" ht="15" customHeight="1" x14ac:dyDescent="0.15">
      <c r="B43" t="s">
        <v>87</v>
      </c>
      <c r="C43" s="12">
        <v>29</v>
      </c>
      <c r="D43" s="8">
        <v>1.87</v>
      </c>
      <c r="E43" s="12">
        <v>26</v>
      </c>
      <c r="F43" s="8">
        <v>2.4300000000000002</v>
      </c>
      <c r="G43" s="12">
        <v>3</v>
      </c>
      <c r="H43" s="8">
        <v>0.63</v>
      </c>
      <c r="I43" s="12">
        <v>0</v>
      </c>
    </row>
    <row r="44" spans="2:9" ht="15" customHeight="1" x14ac:dyDescent="0.15">
      <c r="B44" t="s">
        <v>108</v>
      </c>
      <c r="C44" s="12">
        <v>26</v>
      </c>
      <c r="D44" s="8">
        <v>1.68</v>
      </c>
      <c r="E44" s="12">
        <v>20</v>
      </c>
      <c r="F44" s="8">
        <v>1.87</v>
      </c>
      <c r="G44" s="12">
        <v>6</v>
      </c>
      <c r="H44" s="8">
        <v>1.26</v>
      </c>
      <c r="I44" s="12">
        <v>0</v>
      </c>
    </row>
    <row r="45" spans="2:9" ht="15" customHeight="1" x14ac:dyDescent="0.15">
      <c r="B45" t="s">
        <v>96</v>
      </c>
      <c r="C45" s="12">
        <v>23</v>
      </c>
      <c r="D45" s="8">
        <v>1.49</v>
      </c>
      <c r="E45" s="12">
        <v>13</v>
      </c>
      <c r="F45" s="8">
        <v>1.21</v>
      </c>
      <c r="G45" s="12">
        <v>10</v>
      </c>
      <c r="H45" s="8">
        <v>2.11</v>
      </c>
      <c r="I45" s="12">
        <v>0</v>
      </c>
    </row>
    <row r="46" spans="2:9" ht="15" customHeight="1" x14ac:dyDescent="0.15">
      <c r="B46" t="s">
        <v>94</v>
      </c>
      <c r="C46" s="12">
        <v>20</v>
      </c>
      <c r="D46" s="8">
        <v>1.29</v>
      </c>
      <c r="E46" s="12">
        <v>1</v>
      </c>
      <c r="F46" s="8">
        <v>0.09</v>
      </c>
      <c r="G46" s="12">
        <v>19</v>
      </c>
      <c r="H46" s="8">
        <v>4</v>
      </c>
      <c r="I46" s="12">
        <v>0</v>
      </c>
    </row>
    <row r="47" spans="2:9" ht="15" customHeight="1" x14ac:dyDescent="0.15">
      <c r="B47" t="s">
        <v>107</v>
      </c>
      <c r="C47" s="12">
        <v>19</v>
      </c>
      <c r="D47" s="8">
        <v>1.23</v>
      </c>
      <c r="E47" s="12">
        <v>10</v>
      </c>
      <c r="F47" s="8">
        <v>0.93</v>
      </c>
      <c r="G47" s="12">
        <v>9</v>
      </c>
      <c r="H47" s="8">
        <v>1.89</v>
      </c>
      <c r="I47" s="12">
        <v>0</v>
      </c>
    </row>
    <row r="48" spans="2:9" ht="15" customHeight="1" x14ac:dyDescent="0.15">
      <c r="B48" t="s">
        <v>79</v>
      </c>
      <c r="C48" s="12">
        <v>18</v>
      </c>
      <c r="D48" s="8">
        <v>1.1599999999999999</v>
      </c>
      <c r="E48" s="12">
        <v>4</v>
      </c>
      <c r="F48" s="8">
        <v>0.37</v>
      </c>
      <c r="G48" s="12">
        <v>14</v>
      </c>
      <c r="H48" s="8">
        <v>2.95</v>
      </c>
      <c r="I48" s="12">
        <v>0</v>
      </c>
    </row>
    <row r="51" spans="2:9" ht="33" customHeight="1" x14ac:dyDescent="0.15">
      <c r="B51" t="s">
        <v>285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141</v>
      </c>
      <c r="C52" s="12">
        <v>73</v>
      </c>
      <c r="D52" s="8">
        <v>4.72</v>
      </c>
      <c r="E52" s="12">
        <v>68</v>
      </c>
      <c r="F52" s="8">
        <v>6.35</v>
      </c>
      <c r="G52" s="12">
        <v>5</v>
      </c>
      <c r="H52" s="8">
        <v>1.05</v>
      </c>
      <c r="I52" s="12">
        <v>0</v>
      </c>
    </row>
    <row r="53" spans="2:9" ht="15" customHeight="1" x14ac:dyDescent="0.15">
      <c r="B53" t="s">
        <v>134</v>
      </c>
      <c r="C53" s="12">
        <v>61</v>
      </c>
      <c r="D53" s="8">
        <v>3.94</v>
      </c>
      <c r="E53" s="12">
        <v>37</v>
      </c>
      <c r="F53" s="8">
        <v>3.45</v>
      </c>
      <c r="G53" s="12">
        <v>24</v>
      </c>
      <c r="H53" s="8">
        <v>5.05</v>
      </c>
      <c r="I53" s="12">
        <v>0</v>
      </c>
    </row>
    <row r="54" spans="2:9" ht="15" customHeight="1" x14ac:dyDescent="0.15">
      <c r="B54" t="s">
        <v>138</v>
      </c>
      <c r="C54" s="12">
        <v>52</v>
      </c>
      <c r="D54" s="8">
        <v>3.36</v>
      </c>
      <c r="E54" s="12">
        <v>49</v>
      </c>
      <c r="F54" s="8">
        <v>4.58</v>
      </c>
      <c r="G54" s="12">
        <v>3</v>
      </c>
      <c r="H54" s="8">
        <v>0.63</v>
      </c>
      <c r="I54" s="12">
        <v>0</v>
      </c>
    </row>
    <row r="55" spans="2:9" ht="15" customHeight="1" x14ac:dyDescent="0.15">
      <c r="B55" t="s">
        <v>132</v>
      </c>
      <c r="C55" s="12">
        <v>50</v>
      </c>
      <c r="D55" s="8">
        <v>3.23</v>
      </c>
      <c r="E55" s="12">
        <v>40</v>
      </c>
      <c r="F55" s="8">
        <v>3.73</v>
      </c>
      <c r="G55" s="12">
        <v>10</v>
      </c>
      <c r="H55" s="8">
        <v>2.11</v>
      </c>
      <c r="I55" s="12">
        <v>0</v>
      </c>
    </row>
    <row r="56" spans="2:9" ht="15" customHeight="1" x14ac:dyDescent="0.15">
      <c r="B56" t="s">
        <v>148</v>
      </c>
      <c r="C56" s="12">
        <v>49</v>
      </c>
      <c r="D56" s="8">
        <v>3.17</v>
      </c>
      <c r="E56" s="12">
        <v>43</v>
      </c>
      <c r="F56" s="8">
        <v>4.01</v>
      </c>
      <c r="G56" s="12">
        <v>6</v>
      </c>
      <c r="H56" s="8">
        <v>1.26</v>
      </c>
      <c r="I56" s="12">
        <v>0</v>
      </c>
    </row>
    <row r="57" spans="2:9" ht="15" customHeight="1" x14ac:dyDescent="0.15">
      <c r="B57" t="s">
        <v>140</v>
      </c>
      <c r="C57" s="12">
        <v>46</v>
      </c>
      <c r="D57" s="8">
        <v>2.97</v>
      </c>
      <c r="E57" s="12">
        <v>46</v>
      </c>
      <c r="F57" s="8">
        <v>4.3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137</v>
      </c>
      <c r="C58" s="12">
        <v>40</v>
      </c>
      <c r="D58" s="8">
        <v>2.58</v>
      </c>
      <c r="E58" s="12">
        <v>40</v>
      </c>
      <c r="F58" s="8">
        <v>3.73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128</v>
      </c>
      <c r="C59" s="12">
        <v>39</v>
      </c>
      <c r="D59" s="8">
        <v>2.52</v>
      </c>
      <c r="E59" s="12">
        <v>27</v>
      </c>
      <c r="F59" s="8">
        <v>2.52</v>
      </c>
      <c r="G59" s="12">
        <v>12</v>
      </c>
      <c r="H59" s="8">
        <v>2.5299999999999998</v>
      </c>
      <c r="I59" s="12">
        <v>0</v>
      </c>
    </row>
    <row r="60" spans="2:9" ht="15" customHeight="1" x14ac:dyDescent="0.15">
      <c r="B60" t="s">
        <v>135</v>
      </c>
      <c r="C60" s="12">
        <v>30</v>
      </c>
      <c r="D60" s="8">
        <v>1.94</v>
      </c>
      <c r="E60" s="12">
        <v>29</v>
      </c>
      <c r="F60" s="8">
        <v>2.71</v>
      </c>
      <c r="G60" s="12">
        <v>1</v>
      </c>
      <c r="H60" s="8">
        <v>0.21</v>
      </c>
      <c r="I60" s="12">
        <v>0</v>
      </c>
    </row>
    <row r="61" spans="2:9" ht="15" customHeight="1" x14ac:dyDescent="0.15">
      <c r="B61" t="s">
        <v>166</v>
      </c>
      <c r="C61" s="12">
        <v>30</v>
      </c>
      <c r="D61" s="8">
        <v>1.94</v>
      </c>
      <c r="E61" s="12">
        <v>24</v>
      </c>
      <c r="F61" s="8">
        <v>2.2400000000000002</v>
      </c>
      <c r="G61" s="12">
        <v>5</v>
      </c>
      <c r="H61" s="8">
        <v>1.05</v>
      </c>
      <c r="I61" s="12">
        <v>1</v>
      </c>
    </row>
    <row r="62" spans="2:9" ht="15" customHeight="1" x14ac:dyDescent="0.15">
      <c r="B62" t="s">
        <v>127</v>
      </c>
      <c r="C62" s="12">
        <v>29</v>
      </c>
      <c r="D62" s="8">
        <v>1.87</v>
      </c>
      <c r="E62" s="12">
        <v>17</v>
      </c>
      <c r="F62" s="8">
        <v>1.59</v>
      </c>
      <c r="G62" s="12">
        <v>12</v>
      </c>
      <c r="H62" s="8">
        <v>2.5299999999999998</v>
      </c>
      <c r="I62" s="12">
        <v>0</v>
      </c>
    </row>
    <row r="63" spans="2:9" ht="15" customHeight="1" x14ac:dyDescent="0.15">
      <c r="B63" t="s">
        <v>146</v>
      </c>
      <c r="C63" s="12">
        <v>29</v>
      </c>
      <c r="D63" s="8">
        <v>1.87</v>
      </c>
      <c r="E63" s="12">
        <v>25</v>
      </c>
      <c r="F63" s="8">
        <v>2.33</v>
      </c>
      <c r="G63" s="12">
        <v>4</v>
      </c>
      <c r="H63" s="8">
        <v>0.84</v>
      </c>
      <c r="I63" s="12">
        <v>0</v>
      </c>
    </row>
    <row r="64" spans="2:9" ht="15" customHeight="1" x14ac:dyDescent="0.15">
      <c r="B64" t="s">
        <v>125</v>
      </c>
      <c r="C64" s="12">
        <v>28</v>
      </c>
      <c r="D64" s="8">
        <v>1.81</v>
      </c>
      <c r="E64" s="12">
        <v>14</v>
      </c>
      <c r="F64" s="8">
        <v>1.31</v>
      </c>
      <c r="G64" s="12">
        <v>14</v>
      </c>
      <c r="H64" s="8">
        <v>2.95</v>
      </c>
      <c r="I64" s="12">
        <v>0</v>
      </c>
    </row>
    <row r="65" spans="2:9" ht="15" customHeight="1" x14ac:dyDescent="0.15">
      <c r="B65" t="s">
        <v>150</v>
      </c>
      <c r="C65" s="12">
        <v>28</v>
      </c>
      <c r="D65" s="8">
        <v>1.81</v>
      </c>
      <c r="E65" s="12">
        <v>17</v>
      </c>
      <c r="F65" s="8">
        <v>1.59</v>
      </c>
      <c r="G65" s="12">
        <v>11</v>
      </c>
      <c r="H65" s="8">
        <v>2.3199999999999998</v>
      </c>
      <c r="I65" s="12">
        <v>0</v>
      </c>
    </row>
    <row r="66" spans="2:9" ht="15" customHeight="1" x14ac:dyDescent="0.15">
      <c r="B66" t="s">
        <v>151</v>
      </c>
      <c r="C66" s="12">
        <v>28</v>
      </c>
      <c r="D66" s="8">
        <v>1.81</v>
      </c>
      <c r="E66" s="12">
        <v>27</v>
      </c>
      <c r="F66" s="8">
        <v>2.52</v>
      </c>
      <c r="G66" s="12">
        <v>1</v>
      </c>
      <c r="H66" s="8">
        <v>0.21</v>
      </c>
      <c r="I66" s="12">
        <v>0</v>
      </c>
    </row>
    <row r="67" spans="2:9" ht="15" customHeight="1" x14ac:dyDescent="0.15">
      <c r="B67" t="s">
        <v>130</v>
      </c>
      <c r="C67" s="12">
        <v>27</v>
      </c>
      <c r="D67" s="8">
        <v>1.74</v>
      </c>
      <c r="E67" s="12">
        <v>22</v>
      </c>
      <c r="F67" s="8">
        <v>2.0499999999999998</v>
      </c>
      <c r="G67" s="12">
        <v>5</v>
      </c>
      <c r="H67" s="8">
        <v>1.05</v>
      </c>
      <c r="I67" s="12">
        <v>0</v>
      </c>
    </row>
    <row r="68" spans="2:9" ht="15" customHeight="1" x14ac:dyDescent="0.15">
      <c r="B68" t="s">
        <v>144</v>
      </c>
      <c r="C68" s="12">
        <v>27</v>
      </c>
      <c r="D68" s="8">
        <v>1.74</v>
      </c>
      <c r="E68" s="12">
        <v>26</v>
      </c>
      <c r="F68" s="8">
        <v>2.4300000000000002</v>
      </c>
      <c r="G68" s="12">
        <v>1</v>
      </c>
      <c r="H68" s="8">
        <v>0.21</v>
      </c>
      <c r="I68" s="12">
        <v>0</v>
      </c>
    </row>
    <row r="69" spans="2:9" ht="15" customHeight="1" x14ac:dyDescent="0.15">
      <c r="B69" t="s">
        <v>129</v>
      </c>
      <c r="C69" s="12">
        <v>25</v>
      </c>
      <c r="D69" s="8">
        <v>1.61</v>
      </c>
      <c r="E69" s="12">
        <v>20</v>
      </c>
      <c r="F69" s="8">
        <v>1.87</v>
      </c>
      <c r="G69" s="12">
        <v>5</v>
      </c>
      <c r="H69" s="8">
        <v>1.05</v>
      </c>
      <c r="I69" s="12">
        <v>0</v>
      </c>
    </row>
    <row r="70" spans="2:9" ht="15" customHeight="1" x14ac:dyDescent="0.15">
      <c r="B70" t="s">
        <v>143</v>
      </c>
      <c r="C70" s="12">
        <v>25</v>
      </c>
      <c r="D70" s="8">
        <v>1.61</v>
      </c>
      <c r="E70" s="12">
        <v>23</v>
      </c>
      <c r="F70" s="8">
        <v>2.15</v>
      </c>
      <c r="G70" s="12">
        <v>2</v>
      </c>
      <c r="H70" s="8">
        <v>0.42</v>
      </c>
      <c r="I70" s="12">
        <v>0</v>
      </c>
    </row>
    <row r="71" spans="2:9" ht="15" customHeight="1" x14ac:dyDescent="0.15">
      <c r="B71" t="s">
        <v>131</v>
      </c>
      <c r="C71" s="12">
        <v>24</v>
      </c>
      <c r="D71" s="8">
        <v>1.55</v>
      </c>
      <c r="E71" s="12">
        <v>7</v>
      </c>
      <c r="F71" s="8">
        <v>0.65</v>
      </c>
      <c r="G71" s="12">
        <v>17</v>
      </c>
      <c r="H71" s="8">
        <v>3.58</v>
      </c>
      <c r="I71" s="12">
        <v>0</v>
      </c>
    </row>
    <row r="73" spans="2:9" ht="15" customHeight="1" x14ac:dyDescent="0.15">
      <c r="B73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286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94</v>
      </c>
      <c r="D6" s="8">
        <v>5.7</v>
      </c>
      <c r="E6" s="12">
        <v>22</v>
      </c>
      <c r="F6" s="8">
        <v>2.91</v>
      </c>
      <c r="G6" s="12">
        <v>72</v>
      </c>
      <c r="H6" s="8">
        <v>8.1300000000000008</v>
      </c>
      <c r="I6" s="12">
        <v>0</v>
      </c>
    </row>
    <row r="7" spans="2:9" ht="15" customHeight="1" x14ac:dyDescent="0.15">
      <c r="B7" t="s">
        <v>53</v>
      </c>
      <c r="C7" s="12">
        <v>34</v>
      </c>
      <c r="D7" s="8">
        <v>2.06</v>
      </c>
      <c r="E7" s="12">
        <v>4</v>
      </c>
      <c r="F7" s="8">
        <v>0.53</v>
      </c>
      <c r="G7" s="12">
        <v>30</v>
      </c>
      <c r="H7" s="8">
        <v>3.39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18</v>
      </c>
      <c r="D9" s="8">
        <v>1.0900000000000001</v>
      </c>
      <c r="E9" s="12">
        <v>2</v>
      </c>
      <c r="F9" s="8">
        <v>0.26</v>
      </c>
      <c r="G9" s="12">
        <v>16</v>
      </c>
      <c r="H9" s="8">
        <v>1.81</v>
      </c>
      <c r="I9" s="12">
        <v>0</v>
      </c>
    </row>
    <row r="10" spans="2:9" ht="15" customHeight="1" x14ac:dyDescent="0.15">
      <c r="B10" t="s">
        <v>56</v>
      </c>
      <c r="C10" s="12">
        <v>10</v>
      </c>
      <c r="D10" s="8">
        <v>0.61</v>
      </c>
      <c r="E10" s="12">
        <v>3</v>
      </c>
      <c r="F10" s="8">
        <v>0.4</v>
      </c>
      <c r="G10" s="12">
        <v>7</v>
      </c>
      <c r="H10" s="8">
        <v>0.79</v>
      </c>
      <c r="I10" s="12">
        <v>0</v>
      </c>
    </row>
    <row r="11" spans="2:9" ht="15" customHeight="1" x14ac:dyDescent="0.15">
      <c r="B11" t="s">
        <v>57</v>
      </c>
      <c r="C11" s="12">
        <v>457</v>
      </c>
      <c r="D11" s="8">
        <v>27.71</v>
      </c>
      <c r="E11" s="12">
        <v>205</v>
      </c>
      <c r="F11" s="8">
        <v>27.08</v>
      </c>
      <c r="G11" s="12">
        <v>250</v>
      </c>
      <c r="H11" s="8">
        <v>28.22</v>
      </c>
      <c r="I11" s="12">
        <v>2</v>
      </c>
    </row>
    <row r="12" spans="2:9" ht="15" customHeight="1" x14ac:dyDescent="0.15">
      <c r="B12" t="s">
        <v>58</v>
      </c>
      <c r="C12" s="12">
        <v>5</v>
      </c>
      <c r="D12" s="8">
        <v>0.3</v>
      </c>
      <c r="E12" s="12">
        <v>0</v>
      </c>
      <c r="F12" s="8">
        <v>0</v>
      </c>
      <c r="G12" s="12">
        <v>5</v>
      </c>
      <c r="H12" s="8">
        <v>0.56000000000000005</v>
      </c>
      <c r="I12" s="12">
        <v>0</v>
      </c>
    </row>
    <row r="13" spans="2:9" ht="15" customHeight="1" x14ac:dyDescent="0.15">
      <c r="B13" t="s">
        <v>59</v>
      </c>
      <c r="C13" s="12">
        <v>266</v>
      </c>
      <c r="D13" s="8">
        <v>16.13</v>
      </c>
      <c r="E13" s="12">
        <v>24</v>
      </c>
      <c r="F13" s="8">
        <v>3.17</v>
      </c>
      <c r="G13" s="12">
        <v>240</v>
      </c>
      <c r="H13" s="8">
        <v>27.09</v>
      </c>
      <c r="I13" s="12">
        <v>2</v>
      </c>
    </row>
    <row r="14" spans="2:9" ht="15" customHeight="1" x14ac:dyDescent="0.15">
      <c r="B14" t="s">
        <v>60</v>
      </c>
      <c r="C14" s="12">
        <v>109</v>
      </c>
      <c r="D14" s="8">
        <v>6.61</v>
      </c>
      <c r="E14" s="12">
        <v>51</v>
      </c>
      <c r="F14" s="8">
        <v>6.74</v>
      </c>
      <c r="G14" s="12">
        <v>58</v>
      </c>
      <c r="H14" s="8">
        <v>6.55</v>
      </c>
      <c r="I14" s="12">
        <v>0</v>
      </c>
    </row>
    <row r="15" spans="2:9" ht="15" customHeight="1" x14ac:dyDescent="0.15">
      <c r="B15" t="s">
        <v>61</v>
      </c>
      <c r="C15" s="12">
        <v>216</v>
      </c>
      <c r="D15" s="8">
        <v>13.1</v>
      </c>
      <c r="E15" s="12">
        <v>152</v>
      </c>
      <c r="F15" s="8">
        <v>20.079999999999998</v>
      </c>
      <c r="G15" s="12">
        <v>64</v>
      </c>
      <c r="H15" s="8">
        <v>7.22</v>
      </c>
      <c r="I15" s="12">
        <v>0</v>
      </c>
    </row>
    <row r="16" spans="2:9" ht="15" customHeight="1" x14ac:dyDescent="0.15">
      <c r="B16" t="s">
        <v>62</v>
      </c>
      <c r="C16" s="12">
        <v>216</v>
      </c>
      <c r="D16" s="8">
        <v>13.1</v>
      </c>
      <c r="E16" s="12">
        <v>149</v>
      </c>
      <c r="F16" s="8">
        <v>19.68</v>
      </c>
      <c r="G16" s="12">
        <v>67</v>
      </c>
      <c r="H16" s="8">
        <v>7.56</v>
      </c>
      <c r="I16" s="12">
        <v>0</v>
      </c>
    </row>
    <row r="17" spans="2:9" ht="15" customHeight="1" x14ac:dyDescent="0.15">
      <c r="B17" t="s">
        <v>63</v>
      </c>
      <c r="C17" s="12">
        <v>87</v>
      </c>
      <c r="D17" s="8">
        <v>5.28</v>
      </c>
      <c r="E17" s="12">
        <v>47</v>
      </c>
      <c r="F17" s="8">
        <v>6.21</v>
      </c>
      <c r="G17" s="12">
        <v>39</v>
      </c>
      <c r="H17" s="8">
        <v>4.4000000000000004</v>
      </c>
      <c r="I17" s="12">
        <v>1</v>
      </c>
    </row>
    <row r="18" spans="2:9" ht="15" customHeight="1" x14ac:dyDescent="0.15">
      <c r="B18" t="s">
        <v>64</v>
      </c>
      <c r="C18" s="12">
        <v>108</v>
      </c>
      <c r="D18" s="8">
        <v>6.55</v>
      </c>
      <c r="E18" s="12">
        <v>87</v>
      </c>
      <c r="F18" s="8">
        <v>11.49</v>
      </c>
      <c r="G18" s="12">
        <v>21</v>
      </c>
      <c r="H18" s="8">
        <v>2.37</v>
      </c>
      <c r="I18" s="12">
        <v>0</v>
      </c>
    </row>
    <row r="19" spans="2:9" ht="15" customHeight="1" x14ac:dyDescent="0.15">
      <c r="B19" t="s">
        <v>65</v>
      </c>
      <c r="C19" s="12">
        <v>29</v>
      </c>
      <c r="D19" s="8">
        <v>1.76</v>
      </c>
      <c r="E19" s="12">
        <v>11</v>
      </c>
      <c r="F19" s="8">
        <v>1.45</v>
      </c>
      <c r="G19" s="12">
        <v>17</v>
      </c>
      <c r="H19" s="8">
        <v>1.92</v>
      </c>
      <c r="I19" s="12">
        <v>1</v>
      </c>
    </row>
    <row r="20" spans="2:9" ht="15" customHeight="1" x14ac:dyDescent="0.15">
      <c r="B20" s="9" t="s">
        <v>215</v>
      </c>
      <c r="C20" s="12">
        <f>SUM(LTBL_28206[総数／事業所数])</f>
        <v>1649</v>
      </c>
      <c r="E20" s="12">
        <f>SUBTOTAL(109,LTBL_28206[個人／事業所数])</f>
        <v>757</v>
      </c>
      <c r="G20" s="12">
        <f>SUBTOTAL(109,LTBL_28206[法人／事業所数])</f>
        <v>886</v>
      </c>
      <c r="I20" s="12">
        <f>SUBTOTAL(109,LTBL_28206[法人以外の団体／事業所数])</f>
        <v>6</v>
      </c>
    </row>
    <row r="21" spans="2:9" ht="15" customHeight="1" x14ac:dyDescent="0.15">
      <c r="E21" s="11">
        <f>LTBL_28206[[#Totals],[個人／事業所数]]/LTBL_28206[[#Totals],[総数／事業所数]]</f>
        <v>0.45906610066707093</v>
      </c>
      <c r="G21" s="11">
        <f>LTBL_28206[[#Totals],[法人／事業所数]]/LTBL_28206[[#Totals],[総数／事業所数]]</f>
        <v>0.53729533050333533</v>
      </c>
      <c r="I21" s="11">
        <f>LTBL_28206[[#Totals],[法人以外の団体／事業所数]]/LTBL_28206[[#Totals],[総数／事業所数]]</f>
        <v>3.6385688295936932E-3</v>
      </c>
    </row>
    <row r="23" spans="2:9" ht="33" customHeight="1" x14ac:dyDescent="0.15">
      <c r="B23" t="s">
        <v>214</v>
      </c>
      <c r="C23" s="10" t="s">
        <v>67</v>
      </c>
      <c r="D23" s="10" t="s">
        <v>287</v>
      </c>
      <c r="E23" s="10" t="s">
        <v>69</v>
      </c>
      <c r="F23" s="10" t="s">
        <v>288</v>
      </c>
      <c r="G23" s="10" t="s">
        <v>71</v>
      </c>
      <c r="H23" s="10" t="s">
        <v>289</v>
      </c>
      <c r="I23" s="10" t="s">
        <v>73</v>
      </c>
    </row>
    <row r="24" spans="2:9" ht="15" customHeight="1" x14ac:dyDescent="0.15">
      <c r="B24" t="s">
        <v>217</v>
      </c>
      <c r="C24">
        <v>2</v>
      </c>
      <c r="D24" t="s">
        <v>216</v>
      </c>
      <c r="E24">
        <v>0</v>
      </c>
      <c r="F24" t="s">
        <v>218</v>
      </c>
      <c r="G24">
        <v>2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229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86</v>
      </c>
      <c r="C29" s="12">
        <v>197</v>
      </c>
      <c r="D29" s="8">
        <v>11.95</v>
      </c>
      <c r="E29" s="12">
        <v>13</v>
      </c>
      <c r="F29" s="8">
        <v>1.72</v>
      </c>
      <c r="G29" s="12">
        <v>182</v>
      </c>
      <c r="H29" s="8">
        <v>20.54</v>
      </c>
      <c r="I29" s="12">
        <v>2</v>
      </c>
    </row>
    <row r="30" spans="2:9" ht="15" customHeight="1" x14ac:dyDescent="0.15">
      <c r="B30" t="s">
        <v>89</v>
      </c>
      <c r="C30" s="12">
        <v>189</v>
      </c>
      <c r="D30" s="8">
        <v>11.46</v>
      </c>
      <c r="E30" s="12">
        <v>150</v>
      </c>
      <c r="F30" s="8">
        <v>19.82</v>
      </c>
      <c r="G30" s="12">
        <v>39</v>
      </c>
      <c r="H30" s="8">
        <v>4.4000000000000004</v>
      </c>
      <c r="I30" s="12">
        <v>0</v>
      </c>
    </row>
    <row r="31" spans="2:9" ht="15" customHeight="1" x14ac:dyDescent="0.15">
      <c r="B31" t="s">
        <v>90</v>
      </c>
      <c r="C31" s="12">
        <v>184</v>
      </c>
      <c r="D31" s="8">
        <v>11.16</v>
      </c>
      <c r="E31" s="12">
        <v>136</v>
      </c>
      <c r="F31" s="8">
        <v>17.97</v>
      </c>
      <c r="G31" s="12">
        <v>48</v>
      </c>
      <c r="H31" s="8">
        <v>5.42</v>
      </c>
      <c r="I31" s="12">
        <v>0</v>
      </c>
    </row>
    <row r="32" spans="2:9" ht="15" customHeight="1" x14ac:dyDescent="0.15">
      <c r="B32" t="s">
        <v>84</v>
      </c>
      <c r="C32" s="12">
        <v>135</v>
      </c>
      <c r="D32" s="8">
        <v>8.19</v>
      </c>
      <c r="E32" s="12">
        <v>75</v>
      </c>
      <c r="F32" s="8">
        <v>9.91</v>
      </c>
      <c r="G32" s="12">
        <v>59</v>
      </c>
      <c r="H32" s="8">
        <v>6.66</v>
      </c>
      <c r="I32" s="12">
        <v>1</v>
      </c>
    </row>
    <row r="33" spans="2:9" ht="15" customHeight="1" x14ac:dyDescent="0.15">
      <c r="B33" t="s">
        <v>81</v>
      </c>
      <c r="C33" s="12">
        <v>110</v>
      </c>
      <c r="D33" s="8">
        <v>6.67</v>
      </c>
      <c r="E33" s="12">
        <v>53</v>
      </c>
      <c r="F33" s="8">
        <v>7</v>
      </c>
      <c r="G33" s="12">
        <v>57</v>
      </c>
      <c r="H33" s="8">
        <v>6.43</v>
      </c>
      <c r="I33" s="12">
        <v>0</v>
      </c>
    </row>
    <row r="34" spans="2:9" ht="15" customHeight="1" x14ac:dyDescent="0.15">
      <c r="B34" t="s">
        <v>93</v>
      </c>
      <c r="C34" s="12">
        <v>96</v>
      </c>
      <c r="D34" s="8">
        <v>5.82</v>
      </c>
      <c r="E34" s="12">
        <v>87</v>
      </c>
      <c r="F34" s="8">
        <v>11.49</v>
      </c>
      <c r="G34" s="12">
        <v>9</v>
      </c>
      <c r="H34" s="8">
        <v>1.02</v>
      </c>
      <c r="I34" s="12">
        <v>0</v>
      </c>
    </row>
    <row r="35" spans="2:9" ht="15" customHeight="1" x14ac:dyDescent="0.15">
      <c r="B35" t="s">
        <v>82</v>
      </c>
      <c r="C35" s="12">
        <v>88</v>
      </c>
      <c r="D35" s="8">
        <v>5.34</v>
      </c>
      <c r="E35" s="12">
        <v>58</v>
      </c>
      <c r="F35" s="8">
        <v>7.66</v>
      </c>
      <c r="G35" s="12">
        <v>29</v>
      </c>
      <c r="H35" s="8">
        <v>3.27</v>
      </c>
      <c r="I35" s="12">
        <v>1</v>
      </c>
    </row>
    <row r="36" spans="2:9" ht="15" customHeight="1" x14ac:dyDescent="0.15">
      <c r="B36" t="s">
        <v>92</v>
      </c>
      <c r="C36" s="12">
        <v>87</v>
      </c>
      <c r="D36" s="8">
        <v>5.28</v>
      </c>
      <c r="E36" s="12">
        <v>47</v>
      </c>
      <c r="F36" s="8">
        <v>6.21</v>
      </c>
      <c r="G36" s="12">
        <v>39</v>
      </c>
      <c r="H36" s="8">
        <v>4.4000000000000004</v>
      </c>
      <c r="I36" s="12">
        <v>1</v>
      </c>
    </row>
    <row r="37" spans="2:9" ht="15" customHeight="1" x14ac:dyDescent="0.15">
      <c r="B37" t="s">
        <v>87</v>
      </c>
      <c r="C37" s="12">
        <v>68</v>
      </c>
      <c r="D37" s="8">
        <v>4.12</v>
      </c>
      <c r="E37" s="12">
        <v>35</v>
      </c>
      <c r="F37" s="8">
        <v>4.62</v>
      </c>
      <c r="G37" s="12">
        <v>33</v>
      </c>
      <c r="H37" s="8">
        <v>3.72</v>
      </c>
      <c r="I37" s="12">
        <v>0</v>
      </c>
    </row>
    <row r="38" spans="2:9" ht="15" customHeight="1" x14ac:dyDescent="0.15">
      <c r="B38" t="s">
        <v>85</v>
      </c>
      <c r="C38" s="12">
        <v>66</v>
      </c>
      <c r="D38" s="8">
        <v>4</v>
      </c>
      <c r="E38" s="12">
        <v>9</v>
      </c>
      <c r="F38" s="8">
        <v>1.19</v>
      </c>
      <c r="G38" s="12">
        <v>57</v>
      </c>
      <c r="H38" s="8">
        <v>6.43</v>
      </c>
      <c r="I38" s="12">
        <v>0</v>
      </c>
    </row>
    <row r="39" spans="2:9" ht="15" customHeight="1" x14ac:dyDescent="0.15">
      <c r="B39" t="s">
        <v>74</v>
      </c>
      <c r="C39" s="12">
        <v>57</v>
      </c>
      <c r="D39" s="8">
        <v>3.46</v>
      </c>
      <c r="E39" s="12">
        <v>10</v>
      </c>
      <c r="F39" s="8">
        <v>1.32</v>
      </c>
      <c r="G39" s="12">
        <v>47</v>
      </c>
      <c r="H39" s="8">
        <v>5.3</v>
      </c>
      <c r="I39" s="12">
        <v>0</v>
      </c>
    </row>
    <row r="40" spans="2:9" ht="15" customHeight="1" x14ac:dyDescent="0.15">
      <c r="B40" t="s">
        <v>88</v>
      </c>
      <c r="C40" s="12">
        <v>37</v>
      </c>
      <c r="D40" s="8">
        <v>2.2400000000000002</v>
      </c>
      <c r="E40" s="12">
        <v>15</v>
      </c>
      <c r="F40" s="8">
        <v>1.98</v>
      </c>
      <c r="G40" s="12">
        <v>22</v>
      </c>
      <c r="H40" s="8">
        <v>2.48</v>
      </c>
      <c r="I40" s="12">
        <v>0</v>
      </c>
    </row>
    <row r="41" spans="2:9" ht="15" customHeight="1" x14ac:dyDescent="0.15">
      <c r="B41" t="s">
        <v>80</v>
      </c>
      <c r="C41" s="12">
        <v>35</v>
      </c>
      <c r="D41" s="8">
        <v>2.12</v>
      </c>
      <c r="E41" s="12">
        <v>3</v>
      </c>
      <c r="F41" s="8">
        <v>0.4</v>
      </c>
      <c r="G41" s="12">
        <v>32</v>
      </c>
      <c r="H41" s="8">
        <v>3.61</v>
      </c>
      <c r="I41" s="12">
        <v>0</v>
      </c>
    </row>
    <row r="42" spans="2:9" ht="15" customHeight="1" x14ac:dyDescent="0.15">
      <c r="B42" t="s">
        <v>105</v>
      </c>
      <c r="C42" s="12">
        <v>22</v>
      </c>
      <c r="D42" s="8">
        <v>1.33</v>
      </c>
      <c r="E42" s="12">
        <v>1</v>
      </c>
      <c r="F42" s="8">
        <v>0.13</v>
      </c>
      <c r="G42" s="12">
        <v>21</v>
      </c>
      <c r="H42" s="8">
        <v>2.37</v>
      </c>
      <c r="I42" s="12">
        <v>0</v>
      </c>
    </row>
    <row r="43" spans="2:9" ht="15" customHeight="1" x14ac:dyDescent="0.15">
      <c r="B43" t="s">
        <v>75</v>
      </c>
      <c r="C43" s="12">
        <v>20</v>
      </c>
      <c r="D43" s="8">
        <v>1.21</v>
      </c>
      <c r="E43" s="12">
        <v>6</v>
      </c>
      <c r="F43" s="8">
        <v>0.79</v>
      </c>
      <c r="G43" s="12">
        <v>14</v>
      </c>
      <c r="H43" s="8">
        <v>1.58</v>
      </c>
      <c r="I43" s="12">
        <v>0</v>
      </c>
    </row>
    <row r="44" spans="2:9" ht="15" customHeight="1" x14ac:dyDescent="0.15">
      <c r="B44" t="s">
        <v>83</v>
      </c>
      <c r="C44" s="12">
        <v>20</v>
      </c>
      <c r="D44" s="8">
        <v>1.21</v>
      </c>
      <c r="E44" s="12">
        <v>9</v>
      </c>
      <c r="F44" s="8">
        <v>1.19</v>
      </c>
      <c r="G44" s="12">
        <v>11</v>
      </c>
      <c r="H44" s="8">
        <v>1.24</v>
      </c>
      <c r="I44" s="12">
        <v>0</v>
      </c>
    </row>
    <row r="45" spans="2:9" ht="15" customHeight="1" x14ac:dyDescent="0.15">
      <c r="B45" t="s">
        <v>79</v>
      </c>
      <c r="C45" s="12">
        <v>19</v>
      </c>
      <c r="D45" s="8">
        <v>1.1499999999999999</v>
      </c>
      <c r="E45" s="12">
        <v>1</v>
      </c>
      <c r="F45" s="8">
        <v>0.13</v>
      </c>
      <c r="G45" s="12">
        <v>18</v>
      </c>
      <c r="H45" s="8">
        <v>2.0299999999999998</v>
      </c>
      <c r="I45" s="12">
        <v>0</v>
      </c>
    </row>
    <row r="46" spans="2:9" ht="15" customHeight="1" x14ac:dyDescent="0.15">
      <c r="B46" t="s">
        <v>91</v>
      </c>
      <c r="C46" s="12">
        <v>19</v>
      </c>
      <c r="D46" s="8">
        <v>1.1499999999999999</v>
      </c>
      <c r="E46" s="12">
        <v>6</v>
      </c>
      <c r="F46" s="8">
        <v>0.79</v>
      </c>
      <c r="G46" s="12">
        <v>13</v>
      </c>
      <c r="H46" s="8">
        <v>1.47</v>
      </c>
      <c r="I46" s="12">
        <v>0</v>
      </c>
    </row>
    <row r="47" spans="2:9" ht="15" customHeight="1" x14ac:dyDescent="0.15">
      <c r="B47" t="s">
        <v>76</v>
      </c>
      <c r="C47" s="12">
        <v>17</v>
      </c>
      <c r="D47" s="8">
        <v>1.03</v>
      </c>
      <c r="E47" s="12">
        <v>6</v>
      </c>
      <c r="F47" s="8">
        <v>0.79</v>
      </c>
      <c r="G47" s="12">
        <v>11</v>
      </c>
      <c r="H47" s="8">
        <v>1.24</v>
      </c>
      <c r="I47" s="12">
        <v>0</v>
      </c>
    </row>
    <row r="48" spans="2:9" ht="15" customHeight="1" x14ac:dyDescent="0.15">
      <c r="B48" t="s">
        <v>78</v>
      </c>
      <c r="C48" s="12">
        <v>17</v>
      </c>
      <c r="D48" s="8">
        <v>1.03</v>
      </c>
      <c r="E48" s="12">
        <v>2</v>
      </c>
      <c r="F48" s="8">
        <v>0.26</v>
      </c>
      <c r="G48" s="12">
        <v>15</v>
      </c>
      <c r="H48" s="8">
        <v>1.69</v>
      </c>
      <c r="I48" s="12">
        <v>0</v>
      </c>
    </row>
    <row r="51" spans="2:9" ht="33" customHeight="1" x14ac:dyDescent="0.15">
      <c r="B51" t="s">
        <v>290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141</v>
      </c>
      <c r="C52" s="12">
        <v>94</v>
      </c>
      <c r="D52" s="8">
        <v>5.7</v>
      </c>
      <c r="E52" s="12">
        <v>83</v>
      </c>
      <c r="F52" s="8">
        <v>10.96</v>
      </c>
      <c r="G52" s="12">
        <v>11</v>
      </c>
      <c r="H52" s="8">
        <v>1.24</v>
      </c>
      <c r="I52" s="12">
        <v>0</v>
      </c>
    </row>
    <row r="53" spans="2:9" ht="15" customHeight="1" x14ac:dyDescent="0.15">
      <c r="B53" t="s">
        <v>134</v>
      </c>
      <c r="C53" s="12">
        <v>81</v>
      </c>
      <c r="D53" s="8">
        <v>4.91</v>
      </c>
      <c r="E53" s="12">
        <v>7</v>
      </c>
      <c r="F53" s="8">
        <v>0.92</v>
      </c>
      <c r="G53" s="12">
        <v>73</v>
      </c>
      <c r="H53" s="8">
        <v>8.24</v>
      </c>
      <c r="I53" s="12">
        <v>1</v>
      </c>
    </row>
    <row r="54" spans="2:9" ht="15" customHeight="1" x14ac:dyDescent="0.15">
      <c r="B54" t="s">
        <v>128</v>
      </c>
      <c r="C54" s="12">
        <v>72</v>
      </c>
      <c r="D54" s="8">
        <v>4.37</v>
      </c>
      <c r="E54" s="12">
        <v>31</v>
      </c>
      <c r="F54" s="8">
        <v>4.0999999999999996</v>
      </c>
      <c r="G54" s="12">
        <v>41</v>
      </c>
      <c r="H54" s="8">
        <v>4.63</v>
      </c>
      <c r="I54" s="12">
        <v>0</v>
      </c>
    </row>
    <row r="55" spans="2:9" ht="15" customHeight="1" x14ac:dyDescent="0.15">
      <c r="B55" t="s">
        <v>144</v>
      </c>
      <c r="C55" s="12">
        <v>67</v>
      </c>
      <c r="D55" s="8">
        <v>4.0599999999999996</v>
      </c>
      <c r="E55" s="12">
        <v>61</v>
      </c>
      <c r="F55" s="8">
        <v>8.06</v>
      </c>
      <c r="G55" s="12">
        <v>6</v>
      </c>
      <c r="H55" s="8">
        <v>0.68</v>
      </c>
      <c r="I55" s="12">
        <v>0</v>
      </c>
    </row>
    <row r="56" spans="2:9" ht="15" customHeight="1" x14ac:dyDescent="0.15">
      <c r="B56" t="s">
        <v>132</v>
      </c>
      <c r="C56" s="12">
        <v>66</v>
      </c>
      <c r="D56" s="8">
        <v>4</v>
      </c>
      <c r="E56" s="12">
        <v>43</v>
      </c>
      <c r="F56" s="8">
        <v>5.68</v>
      </c>
      <c r="G56" s="12">
        <v>23</v>
      </c>
      <c r="H56" s="8">
        <v>2.6</v>
      </c>
      <c r="I56" s="12">
        <v>0</v>
      </c>
    </row>
    <row r="57" spans="2:9" ht="15" customHeight="1" x14ac:dyDescent="0.15">
      <c r="B57" t="s">
        <v>149</v>
      </c>
      <c r="C57" s="12">
        <v>65</v>
      </c>
      <c r="D57" s="8">
        <v>3.94</v>
      </c>
      <c r="E57" s="12">
        <v>1</v>
      </c>
      <c r="F57" s="8">
        <v>0.13</v>
      </c>
      <c r="G57" s="12">
        <v>63</v>
      </c>
      <c r="H57" s="8">
        <v>7.11</v>
      </c>
      <c r="I57" s="12">
        <v>1</v>
      </c>
    </row>
    <row r="58" spans="2:9" ht="15" customHeight="1" x14ac:dyDescent="0.15">
      <c r="B58" t="s">
        <v>135</v>
      </c>
      <c r="C58" s="12">
        <v>65</v>
      </c>
      <c r="D58" s="8">
        <v>3.94</v>
      </c>
      <c r="E58" s="12">
        <v>50</v>
      </c>
      <c r="F58" s="8">
        <v>6.61</v>
      </c>
      <c r="G58" s="12">
        <v>15</v>
      </c>
      <c r="H58" s="8">
        <v>1.69</v>
      </c>
      <c r="I58" s="12">
        <v>0</v>
      </c>
    </row>
    <row r="59" spans="2:9" ht="15" customHeight="1" x14ac:dyDescent="0.15">
      <c r="B59" t="s">
        <v>143</v>
      </c>
      <c r="C59" s="12">
        <v>61</v>
      </c>
      <c r="D59" s="8">
        <v>3.7</v>
      </c>
      <c r="E59" s="12">
        <v>37</v>
      </c>
      <c r="F59" s="8">
        <v>4.8899999999999997</v>
      </c>
      <c r="G59" s="12">
        <v>24</v>
      </c>
      <c r="H59" s="8">
        <v>2.71</v>
      </c>
      <c r="I59" s="12">
        <v>0</v>
      </c>
    </row>
    <row r="60" spans="2:9" ht="15" customHeight="1" x14ac:dyDescent="0.15">
      <c r="B60" t="s">
        <v>133</v>
      </c>
      <c r="C60" s="12">
        <v>57</v>
      </c>
      <c r="D60" s="8">
        <v>3.46</v>
      </c>
      <c r="E60" s="12">
        <v>7</v>
      </c>
      <c r="F60" s="8">
        <v>0.92</v>
      </c>
      <c r="G60" s="12">
        <v>50</v>
      </c>
      <c r="H60" s="8">
        <v>5.64</v>
      </c>
      <c r="I60" s="12">
        <v>0</v>
      </c>
    </row>
    <row r="61" spans="2:9" ht="15" customHeight="1" x14ac:dyDescent="0.15">
      <c r="B61" t="s">
        <v>147</v>
      </c>
      <c r="C61" s="12">
        <v>39</v>
      </c>
      <c r="D61" s="8">
        <v>2.37</v>
      </c>
      <c r="E61" s="12">
        <v>2</v>
      </c>
      <c r="F61" s="8">
        <v>0.26</v>
      </c>
      <c r="G61" s="12">
        <v>37</v>
      </c>
      <c r="H61" s="8">
        <v>4.18</v>
      </c>
      <c r="I61" s="12">
        <v>0</v>
      </c>
    </row>
    <row r="62" spans="2:9" ht="15" customHeight="1" x14ac:dyDescent="0.15">
      <c r="B62" t="s">
        <v>138</v>
      </c>
      <c r="C62" s="12">
        <v>38</v>
      </c>
      <c r="D62" s="8">
        <v>2.2999999999999998</v>
      </c>
      <c r="E62" s="12">
        <v>34</v>
      </c>
      <c r="F62" s="8">
        <v>4.49</v>
      </c>
      <c r="G62" s="12">
        <v>4</v>
      </c>
      <c r="H62" s="8">
        <v>0.45</v>
      </c>
      <c r="I62" s="12">
        <v>0</v>
      </c>
    </row>
    <row r="63" spans="2:9" ht="15" customHeight="1" x14ac:dyDescent="0.15">
      <c r="B63" t="s">
        <v>165</v>
      </c>
      <c r="C63" s="12">
        <v>34</v>
      </c>
      <c r="D63" s="8">
        <v>2.06</v>
      </c>
      <c r="E63" s="12">
        <v>24</v>
      </c>
      <c r="F63" s="8">
        <v>3.17</v>
      </c>
      <c r="G63" s="12">
        <v>10</v>
      </c>
      <c r="H63" s="8">
        <v>1.1299999999999999</v>
      </c>
      <c r="I63" s="12">
        <v>0</v>
      </c>
    </row>
    <row r="64" spans="2:9" ht="15" customHeight="1" x14ac:dyDescent="0.15">
      <c r="B64" t="s">
        <v>139</v>
      </c>
      <c r="C64" s="12">
        <v>33</v>
      </c>
      <c r="D64" s="8">
        <v>2</v>
      </c>
      <c r="E64" s="12">
        <v>11</v>
      </c>
      <c r="F64" s="8">
        <v>1.45</v>
      </c>
      <c r="G64" s="12">
        <v>22</v>
      </c>
      <c r="H64" s="8">
        <v>2.48</v>
      </c>
      <c r="I64" s="12">
        <v>0</v>
      </c>
    </row>
    <row r="65" spans="2:9" ht="15" customHeight="1" x14ac:dyDescent="0.15">
      <c r="B65" t="s">
        <v>129</v>
      </c>
      <c r="C65" s="12">
        <v>30</v>
      </c>
      <c r="D65" s="8">
        <v>1.82</v>
      </c>
      <c r="E65" s="12">
        <v>14</v>
      </c>
      <c r="F65" s="8">
        <v>1.85</v>
      </c>
      <c r="G65" s="12">
        <v>15</v>
      </c>
      <c r="H65" s="8">
        <v>1.69</v>
      </c>
      <c r="I65" s="12">
        <v>1</v>
      </c>
    </row>
    <row r="66" spans="2:9" ht="15" customHeight="1" x14ac:dyDescent="0.15">
      <c r="B66" t="s">
        <v>136</v>
      </c>
      <c r="C66" s="12">
        <v>28</v>
      </c>
      <c r="D66" s="8">
        <v>1.7</v>
      </c>
      <c r="E66" s="12">
        <v>24</v>
      </c>
      <c r="F66" s="8">
        <v>3.17</v>
      </c>
      <c r="G66" s="12">
        <v>4</v>
      </c>
      <c r="H66" s="8">
        <v>0.45</v>
      </c>
      <c r="I66" s="12">
        <v>0</v>
      </c>
    </row>
    <row r="67" spans="2:9" ht="15" customHeight="1" x14ac:dyDescent="0.15">
      <c r="B67" t="s">
        <v>126</v>
      </c>
      <c r="C67" s="12">
        <v>27</v>
      </c>
      <c r="D67" s="8">
        <v>1.64</v>
      </c>
      <c r="E67" s="12">
        <v>4</v>
      </c>
      <c r="F67" s="8">
        <v>0.53</v>
      </c>
      <c r="G67" s="12">
        <v>23</v>
      </c>
      <c r="H67" s="8">
        <v>2.6</v>
      </c>
      <c r="I67" s="12">
        <v>0</v>
      </c>
    </row>
    <row r="68" spans="2:9" ht="15" customHeight="1" x14ac:dyDescent="0.15">
      <c r="B68" t="s">
        <v>152</v>
      </c>
      <c r="C68" s="12">
        <v>27</v>
      </c>
      <c r="D68" s="8">
        <v>1.64</v>
      </c>
      <c r="E68" s="12">
        <v>26</v>
      </c>
      <c r="F68" s="8">
        <v>3.43</v>
      </c>
      <c r="G68" s="12">
        <v>1</v>
      </c>
      <c r="H68" s="8">
        <v>0.11</v>
      </c>
      <c r="I68" s="12">
        <v>0</v>
      </c>
    </row>
    <row r="69" spans="2:9" ht="15" customHeight="1" x14ac:dyDescent="0.15">
      <c r="B69" t="s">
        <v>145</v>
      </c>
      <c r="C69" s="12">
        <v>25</v>
      </c>
      <c r="D69" s="8">
        <v>1.52</v>
      </c>
      <c r="E69" s="12">
        <v>14</v>
      </c>
      <c r="F69" s="8">
        <v>1.85</v>
      </c>
      <c r="G69" s="12">
        <v>11</v>
      </c>
      <c r="H69" s="8">
        <v>1.24</v>
      </c>
      <c r="I69" s="12">
        <v>0</v>
      </c>
    </row>
    <row r="70" spans="2:9" ht="15" customHeight="1" x14ac:dyDescent="0.15">
      <c r="B70" t="s">
        <v>150</v>
      </c>
      <c r="C70" s="12">
        <v>25</v>
      </c>
      <c r="D70" s="8">
        <v>1.52</v>
      </c>
      <c r="E70" s="12">
        <v>9</v>
      </c>
      <c r="F70" s="8">
        <v>1.19</v>
      </c>
      <c r="G70" s="12">
        <v>16</v>
      </c>
      <c r="H70" s="8">
        <v>1.81</v>
      </c>
      <c r="I70" s="12">
        <v>0</v>
      </c>
    </row>
    <row r="71" spans="2:9" ht="15" customHeight="1" x14ac:dyDescent="0.15">
      <c r="B71" t="s">
        <v>162</v>
      </c>
      <c r="C71" s="12">
        <v>24</v>
      </c>
      <c r="D71" s="8">
        <v>1.46</v>
      </c>
      <c r="E71" s="12">
        <v>3</v>
      </c>
      <c r="F71" s="8">
        <v>0.4</v>
      </c>
      <c r="G71" s="12">
        <v>21</v>
      </c>
      <c r="H71" s="8">
        <v>2.37</v>
      </c>
      <c r="I71" s="12">
        <v>0</v>
      </c>
    </row>
    <row r="72" spans="2:9" ht="15" customHeight="1" x14ac:dyDescent="0.15">
      <c r="B72" t="s">
        <v>137</v>
      </c>
      <c r="C72" s="12">
        <v>24</v>
      </c>
      <c r="D72" s="8">
        <v>1.46</v>
      </c>
      <c r="E72" s="12">
        <v>21</v>
      </c>
      <c r="F72" s="8">
        <v>2.77</v>
      </c>
      <c r="G72" s="12">
        <v>3</v>
      </c>
      <c r="H72" s="8">
        <v>0.34</v>
      </c>
      <c r="I72" s="12">
        <v>0</v>
      </c>
    </row>
    <row r="74" spans="2:9" ht="15" customHeight="1" x14ac:dyDescent="0.15">
      <c r="B74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291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386</v>
      </c>
      <c r="D6" s="8">
        <v>12.56</v>
      </c>
      <c r="E6" s="12">
        <v>75</v>
      </c>
      <c r="F6" s="8">
        <v>4.62</v>
      </c>
      <c r="G6" s="12">
        <v>311</v>
      </c>
      <c r="H6" s="8">
        <v>21.52</v>
      </c>
      <c r="I6" s="12">
        <v>0</v>
      </c>
    </row>
    <row r="7" spans="2:9" ht="15" customHeight="1" x14ac:dyDescent="0.15">
      <c r="B7" t="s">
        <v>53</v>
      </c>
      <c r="C7" s="12">
        <v>254</v>
      </c>
      <c r="D7" s="8">
        <v>8.27</v>
      </c>
      <c r="E7" s="12">
        <v>78</v>
      </c>
      <c r="F7" s="8">
        <v>4.8</v>
      </c>
      <c r="G7" s="12">
        <v>176</v>
      </c>
      <c r="H7" s="8">
        <v>12.18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15</v>
      </c>
      <c r="D9" s="8">
        <v>0.49</v>
      </c>
      <c r="E9" s="12">
        <v>0</v>
      </c>
      <c r="F9" s="8">
        <v>0</v>
      </c>
      <c r="G9" s="12">
        <v>15</v>
      </c>
      <c r="H9" s="8">
        <v>1.04</v>
      </c>
      <c r="I9" s="12">
        <v>0</v>
      </c>
    </row>
    <row r="10" spans="2:9" ht="15" customHeight="1" x14ac:dyDescent="0.15">
      <c r="B10" t="s">
        <v>56</v>
      </c>
      <c r="C10" s="12">
        <v>28</v>
      </c>
      <c r="D10" s="8">
        <v>0.91</v>
      </c>
      <c r="E10" s="12">
        <v>3</v>
      </c>
      <c r="F10" s="8">
        <v>0.18</v>
      </c>
      <c r="G10" s="12">
        <v>25</v>
      </c>
      <c r="H10" s="8">
        <v>1.73</v>
      </c>
      <c r="I10" s="12">
        <v>0</v>
      </c>
    </row>
    <row r="11" spans="2:9" ht="15" customHeight="1" x14ac:dyDescent="0.15">
      <c r="B11" t="s">
        <v>57</v>
      </c>
      <c r="C11" s="12">
        <v>736</v>
      </c>
      <c r="D11" s="8">
        <v>23.95</v>
      </c>
      <c r="E11" s="12">
        <v>381</v>
      </c>
      <c r="F11" s="8">
        <v>23.46</v>
      </c>
      <c r="G11" s="12">
        <v>352</v>
      </c>
      <c r="H11" s="8">
        <v>24.36</v>
      </c>
      <c r="I11" s="12">
        <v>3</v>
      </c>
    </row>
    <row r="12" spans="2:9" ht="15" customHeight="1" x14ac:dyDescent="0.15">
      <c r="B12" t="s">
        <v>58</v>
      </c>
      <c r="C12" s="12">
        <v>19</v>
      </c>
      <c r="D12" s="8">
        <v>0.62</v>
      </c>
      <c r="E12" s="12">
        <v>4</v>
      </c>
      <c r="F12" s="8">
        <v>0.25</v>
      </c>
      <c r="G12" s="12">
        <v>15</v>
      </c>
      <c r="H12" s="8">
        <v>1.04</v>
      </c>
      <c r="I12" s="12">
        <v>0</v>
      </c>
    </row>
    <row r="13" spans="2:9" ht="15" customHeight="1" x14ac:dyDescent="0.15">
      <c r="B13" t="s">
        <v>59</v>
      </c>
      <c r="C13" s="12">
        <v>312</v>
      </c>
      <c r="D13" s="8">
        <v>10.15</v>
      </c>
      <c r="E13" s="12">
        <v>68</v>
      </c>
      <c r="F13" s="8">
        <v>4.1900000000000004</v>
      </c>
      <c r="G13" s="12">
        <v>244</v>
      </c>
      <c r="H13" s="8">
        <v>16.89</v>
      </c>
      <c r="I13" s="12">
        <v>0</v>
      </c>
    </row>
    <row r="14" spans="2:9" ht="15" customHeight="1" x14ac:dyDescent="0.15">
      <c r="B14" t="s">
        <v>60</v>
      </c>
      <c r="C14" s="12">
        <v>115</v>
      </c>
      <c r="D14" s="8">
        <v>3.74</v>
      </c>
      <c r="E14" s="12">
        <v>69</v>
      </c>
      <c r="F14" s="8">
        <v>4.25</v>
      </c>
      <c r="G14" s="12">
        <v>46</v>
      </c>
      <c r="H14" s="8">
        <v>3.18</v>
      </c>
      <c r="I14" s="12">
        <v>0</v>
      </c>
    </row>
    <row r="15" spans="2:9" ht="15" customHeight="1" x14ac:dyDescent="0.15">
      <c r="B15" t="s">
        <v>61</v>
      </c>
      <c r="C15" s="12">
        <v>440</v>
      </c>
      <c r="D15" s="8">
        <v>14.32</v>
      </c>
      <c r="E15" s="12">
        <v>385</v>
      </c>
      <c r="F15" s="8">
        <v>23.71</v>
      </c>
      <c r="G15" s="12">
        <v>55</v>
      </c>
      <c r="H15" s="8">
        <v>3.81</v>
      </c>
      <c r="I15" s="12">
        <v>0</v>
      </c>
    </row>
    <row r="16" spans="2:9" ht="15" customHeight="1" x14ac:dyDescent="0.15">
      <c r="B16" t="s">
        <v>62</v>
      </c>
      <c r="C16" s="12">
        <v>404</v>
      </c>
      <c r="D16" s="8">
        <v>13.15</v>
      </c>
      <c r="E16" s="12">
        <v>322</v>
      </c>
      <c r="F16" s="8">
        <v>19.829999999999998</v>
      </c>
      <c r="G16" s="12">
        <v>82</v>
      </c>
      <c r="H16" s="8">
        <v>5.67</v>
      </c>
      <c r="I16" s="12">
        <v>0</v>
      </c>
    </row>
    <row r="17" spans="2:9" ht="15" customHeight="1" x14ac:dyDescent="0.15">
      <c r="B17" t="s">
        <v>63</v>
      </c>
      <c r="C17" s="12">
        <v>133</v>
      </c>
      <c r="D17" s="8">
        <v>4.33</v>
      </c>
      <c r="E17" s="12">
        <v>95</v>
      </c>
      <c r="F17" s="8">
        <v>5.85</v>
      </c>
      <c r="G17" s="12">
        <v>37</v>
      </c>
      <c r="H17" s="8">
        <v>2.56</v>
      </c>
      <c r="I17" s="12">
        <v>1</v>
      </c>
    </row>
    <row r="18" spans="2:9" ht="15" customHeight="1" x14ac:dyDescent="0.15">
      <c r="B18" t="s">
        <v>64</v>
      </c>
      <c r="C18" s="12">
        <v>163</v>
      </c>
      <c r="D18" s="8">
        <v>5.3</v>
      </c>
      <c r="E18" s="12">
        <v>112</v>
      </c>
      <c r="F18" s="8">
        <v>6.9</v>
      </c>
      <c r="G18" s="12">
        <v>51</v>
      </c>
      <c r="H18" s="8">
        <v>3.53</v>
      </c>
      <c r="I18" s="12">
        <v>0</v>
      </c>
    </row>
    <row r="19" spans="2:9" ht="15" customHeight="1" x14ac:dyDescent="0.15">
      <c r="B19" t="s">
        <v>65</v>
      </c>
      <c r="C19" s="12">
        <v>68</v>
      </c>
      <c r="D19" s="8">
        <v>2.21</v>
      </c>
      <c r="E19" s="12">
        <v>32</v>
      </c>
      <c r="F19" s="8">
        <v>1.97</v>
      </c>
      <c r="G19" s="12">
        <v>36</v>
      </c>
      <c r="H19" s="8">
        <v>2.4900000000000002</v>
      </c>
      <c r="I19" s="12">
        <v>0</v>
      </c>
    </row>
    <row r="20" spans="2:9" ht="15" customHeight="1" x14ac:dyDescent="0.15">
      <c r="B20" s="9" t="s">
        <v>215</v>
      </c>
      <c r="C20" s="12">
        <f>SUM(LTBL_28207[総数／事業所数])</f>
        <v>3073</v>
      </c>
      <c r="E20" s="12">
        <f>SUBTOTAL(109,LTBL_28207[個人／事業所数])</f>
        <v>1624</v>
      </c>
      <c r="G20" s="12">
        <f>SUBTOTAL(109,LTBL_28207[法人／事業所数])</f>
        <v>1445</v>
      </c>
      <c r="I20" s="12">
        <f>SUBTOTAL(109,LTBL_28207[法人以外の団体／事業所数])</f>
        <v>4</v>
      </c>
    </row>
    <row r="21" spans="2:9" ht="15" customHeight="1" x14ac:dyDescent="0.15">
      <c r="E21" s="11">
        <f>LTBL_28207[[#Totals],[個人／事業所数]]/LTBL_28207[[#Totals],[総数／事業所数]]</f>
        <v>0.52847380410022782</v>
      </c>
      <c r="G21" s="11">
        <f>LTBL_28207[[#Totals],[法人／事業所数]]/LTBL_28207[[#Totals],[総数／事業所数]]</f>
        <v>0.47022453628376182</v>
      </c>
      <c r="I21" s="11">
        <f>LTBL_28207[[#Totals],[法人以外の団体／事業所数]]/LTBL_28207[[#Totals],[総数／事業所数]]</f>
        <v>1.3016596160104132E-3</v>
      </c>
    </row>
    <row r="23" spans="2:9" ht="33" customHeight="1" x14ac:dyDescent="0.15">
      <c r="B23" t="s">
        <v>214</v>
      </c>
      <c r="C23" s="10" t="s">
        <v>67</v>
      </c>
      <c r="D23" s="10" t="s">
        <v>221</v>
      </c>
      <c r="E23" s="10" t="s">
        <v>69</v>
      </c>
      <c r="F23" s="10" t="s">
        <v>222</v>
      </c>
      <c r="G23" s="10" t="s">
        <v>71</v>
      </c>
      <c r="H23" s="10" t="s">
        <v>292</v>
      </c>
      <c r="I23" s="10" t="s">
        <v>73</v>
      </c>
    </row>
    <row r="24" spans="2:9" ht="15" customHeight="1" x14ac:dyDescent="0.15">
      <c r="B24" t="s">
        <v>217</v>
      </c>
      <c r="C24">
        <v>5</v>
      </c>
      <c r="D24" t="s">
        <v>216</v>
      </c>
      <c r="E24">
        <v>0</v>
      </c>
      <c r="F24" t="s">
        <v>218</v>
      </c>
      <c r="G24">
        <v>5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293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89</v>
      </c>
      <c r="C29" s="12">
        <v>408</v>
      </c>
      <c r="D29" s="8">
        <v>13.28</v>
      </c>
      <c r="E29" s="12">
        <v>374</v>
      </c>
      <c r="F29" s="8">
        <v>23.03</v>
      </c>
      <c r="G29" s="12">
        <v>34</v>
      </c>
      <c r="H29" s="8">
        <v>2.35</v>
      </c>
      <c r="I29" s="12">
        <v>0</v>
      </c>
    </row>
    <row r="30" spans="2:9" ht="15" customHeight="1" x14ac:dyDescent="0.15">
      <c r="B30" t="s">
        <v>90</v>
      </c>
      <c r="C30" s="12">
        <v>348</v>
      </c>
      <c r="D30" s="8">
        <v>11.32</v>
      </c>
      <c r="E30" s="12">
        <v>289</v>
      </c>
      <c r="F30" s="8">
        <v>17.8</v>
      </c>
      <c r="G30" s="12">
        <v>59</v>
      </c>
      <c r="H30" s="8">
        <v>4.08</v>
      </c>
      <c r="I30" s="12">
        <v>0</v>
      </c>
    </row>
    <row r="31" spans="2:9" ht="15" customHeight="1" x14ac:dyDescent="0.15">
      <c r="B31" t="s">
        <v>86</v>
      </c>
      <c r="C31" s="12">
        <v>223</v>
      </c>
      <c r="D31" s="8">
        <v>7.26</v>
      </c>
      <c r="E31" s="12">
        <v>53</v>
      </c>
      <c r="F31" s="8">
        <v>3.26</v>
      </c>
      <c r="G31" s="12">
        <v>170</v>
      </c>
      <c r="H31" s="8">
        <v>11.76</v>
      </c>
      <c r="I31" s="12">
        <v>0</v>
      </c>
    </row>
    <row r="32" spans="2:9" ht="15" customHeight="1" x14ac:dyDescent="0.15">
      <c r="B32" t="s">
        <v>84</v>
      </c>
      <c r="C32" s="12">
        <v>194</v>
      </c>
      <c r="D32" s="8">
        <v>6.31</v>
      </c>
      <c r="E32" s="12">
        <v>119</v>
      </c>
      <c r="F32" s="8">
        <v>7.33</v>
      </c>
      <c r="G32" s="12">
        <v>74</v>
      </c>
      <c r="H32" s="8">
        <v>5.12</v>
      </c>
      <c r="I32" s="12">
        <v>1</v>
      </c>
    </row>
    <row r="33" spans="2:9" ht="15" customHeight="1" x14ac:dyDescent="0.15">
      <c r="B33" t="s">
        <v>74</v>
      </c>
      <c r="C33" s="12">
        <v>192</v>
      </c>
      <c r="D33" s="8">
        <v>6.25</v>
      </c>
      <c r="E33" s="12">
        <v>28</v>
      </c>
      <c r="F33" s="8">
        <v>1.72</v>
      </c>
      <c r="G33" s="12">
        <v>164</v>
      </c>
      <c r="H33" s="8">
        <v>11.35</v>
      </c>
      <c r="I33" s="12">
        <v>0</v>
      </c>
    </row>
    <row r="34" spans="2:9" ht="15" customHeight="1" x14ac:dyDescent="0.15">
      <c r="B34" t="s">
        <v>82</v>
      </c>
      <c r="C34" s="12">
        <v>140</v>
      </c>
      <c r="D34" s="8">
        <v>4.5599999999999996</v>
      </c>
      <c r="E34" s="12">
        <v>101</v>
      </c>
      <c r="F34" s="8">
        <v>6.22</v>
      </c>
      <c r="G34" s="12">
        <v>39</v>
      </c>
      <c r="H34" s="8">
        <v>2.7</v>
      </c>
      <c r="I34" s="12">
        <v>0</v>
      </c>
    </row>
    <row r="35" spans="2:9" ht="15" customHeight="1" x14ac:dyDescent="0.15">
      <c r="B35" t="s">
        <v>92</v>
      </c>
      <c r="C35" s="12">
        <v>133</v>
      </c>
      <c r="D35" s="8">
        <v>4.33</v>
      </c>
      <c r="E35" s="12">
        <v>95</v>
      </c>
      <c r="F35" s="8">
        <v>5.85</v>
      </c>
      <c r="G35" s="12">
        <v>37</v>
      </c>
      <c r="H35" s="8">
        <v>2.56</v>
      </c>
      <c r="I35" s="12">
        <v>1</v>
      </c>
    </row>
    <row r="36" spans="2:9" ht="15" customHeight="1" x14ac:dyDescent="0.15">
      <c r="B36" t="s">
        <v>93</v>
      </c>
      <c r="C36" s="12">
        <v>126</v>
      </c>
      <c r="D36" s="8">
        <v>4.0999999999999996</v>
      </c>
      <c r="E36" s="12">
        <v>111</v>
      </c>
      <c r="F36" s="8">
        <v>6.83</v>
      </c>
      <c r="G36" s="12">
        <v>15</v>
      </c>
      <c r="H36" s="8">
        <v>1.04</v>
      </c>
      <c r="I36" s="12">
        <v>0</v>
      </c>
    </row>
    <row r="37" spans="2:9" ht="15" customHeight="1" x14ac:dyDescent="0.15">
      <c r="B37" t="s">
        <v>83</v>
      </c>
      <c r="C37" s="12">
        <v>125</v>
      </c>
      <c r="D37" s="8">
        <v>4.07</v>
      </c>
      <c r="E37" s="12">
        <v>74</v>
      </c>
      <c r="F37" s="8">
        <v>4.5599999999999996</v>
      </c>
      <c r="G37" s="12">
        <v>51</v>
      </c>
      <c r="H37" s="8">
        <v>3.53</v>
      </c>
      <c r="I37" s="12">
        <v>0</v>
      </c>
    </row>
    <row r="38" spans="2:9" ht="15" customHeight="1" x14ac:dyDescent="0.15">
      <c r="B38" t="s">
        <v>76</v>
      </c>
      <c r="C38" s="12">
        <v>106</v>
      </c>
      <c r="D38" s="8">
        <v>3.45</v>
      </c>
      <c r="E38" s="12">
        <v>19</v>
      </c>
      <c r="F38" s="8">
        <v>1.17</v>
      </c>
      <c r="G38" s="12">
        <v>87</v>
      </c>
      <c r="H38" s="8">
        <v>6.02</v>
      </c>
      <c r="I38" s="12">
        <v>0</v>
      </c>
    </row>
    <row r="39" spans="2:9" ht="15" customHeight="1" x14ac:dyDescent="0.15">
      <c r="B39" t="s">
        <v>81</v>
      </c>
      <c r="C39" s="12">
        <v>102</v>
      </c>
      <c r="D39" s="8">
        <v>3.32</v>
      </c>
      <c r="E39" s="12">
        <v>41</v>
      </c>
      <c r="F39" s="8">
        <v>2.52</v>
      </c>
      <c r="G39" s="12">
        <v>60</v>
      </c>
      <c r="H39" s="8">
        <v>4.1500000000000004</v>
      </c>
      <c r="I39" s="12">
        <v>1</v>
      </c>
    </row>
    <row r="40" spans="2:9" ht="15" customHeight="1" x14ac:dyDescent="0.15">
      <c r="B40" t="s">
        <v>75</v>
      </c>
      <c r="C40" s="12">
        <v>88</v>
      </c>
      <c r="D40" s="8">
        <v>2.86</v>
      </c>
      <c r="E40" s="12">
        <v>28</v>
      </c>
      <c r="F40" s="8">
        <v>1.72</v>
      </c>
      <c r="G40" s="12">
        <v>60</v>
      </c>
      <c r="H40" s="8">
        <v>4.1500000000000004</v>
      </c>
      <c r="I40" s="12">
        <v>0</v>
      </c>
    </row>
    <row r="41" spans="2:9" ht="15" customHeight="1" x14ac:dyDescent="0.15">
      <c r="B41" t="s">
        <v>85</v>
      </c>
      <c r="C41" s="12">
        <v>70</v>
      </c>
      <c r="D41" s="8">
        <v>2.2799999999999998</v>
      </c>
      <c r="E41" s="12">
        <v>13</v>
      </c>
      <c r="F41" s="8">
        <v>0.8</v>
      </c>
      <c r="G41" s="12">
        <v>57</v>
      </c>
      <c r="H41" s="8">
        <v>3.94</v>
      </c>
      <c r="I41" s="12">
        <v>0</v>
      </c>
    </row>
    <row r="42" spans="2:9" ht="15" customHeight="1" x14ac:dyDescent="0.15">
      <c r="B42" t="s">
        <v>87</v>
      </c>
      <c r="C42" s="12">
        <v>70</v>
      </c>
      <c r="D42" s="8">
        <v>2.2799999999999998</v>
      </c>
      <c r="E42" s="12">
        <v>48</v>
      </c>
      <c r="F42" s="8">
        <v>2.96</v>
      </c>
      <c r="G42" s="12">
        <v>22</v>
      </c>
      <c r="H42" s="8">
        <v>1.52</v>
      </c>
      <c r="I42" s="12">
        <v>0</v>
      </c>
    </row>
    <row r="43" spans="2:9" ht="15" customHeight="1" x14ac:dyDescent="0.15">
      <c r="B43" t="s">
        <v>77</v>
      </c>
      <c r="C43" s="12">
        <v>48</v>
      </c>
      <c r="D43" s="8">
        <v>1.56</v>
      </c>
      <c r="E43" s="12">
        <v>14</v>
      </c>
      <c r="F43" s="8">
        <v>0.86</v>
      </c>
      <c r="G43" s="12">
        <v>34</v>
      </c>
      <c r="H43" s="8">
        <v>2.35</v>
      </c>
      <c r="I43" s="12">
        <v>0</v>
      </c>
    </row>
    <row r="44" spans="2:9" ht="15" customHeight="1" x14ac:dyDescent="0.15">
      <c r="B44" t="s">
        <v>78</v>
      </c>
      <c r="C44" s="12">
        <v>43</v>
      </c>
      <c r="D44" s="8">
        <v>1.4</v>
      </c>
      <c r="E44" s="12">
        <v>9</v>
      </c>
      <c r="F44" s="8">
        <v>0.55000000000000004</v>
      </c>
      <c r="G44" s="12">
        <v>34</v>
      </c>
      <c r="H44" s="8">
        <v>2.35</v>
      </c>
      <c r="I44" s="12">
        <v>0</v>
      </c>
    </row>
    <row r="45" spans="2:9" ht="15" customHeight="1" x14ac:dyDescent="0.15">
      <c r="B45" t="s">
        <v>101</v>
      </c>
      <c r="C45" s="12">
        <v>42</v>
      </c>
      <c r="D45" s="8">
        <v>1.37</v>
      </c>
      <c r="E45" s="12">
        <v>8</v>
      </c>
      <c r="F45" s="8">
        <v>0.49</v>
      </c>
      <c r="G45" s="12">
        <v>34</v>
      </c>
      <c r="H45" s="8">
        <v>2.35</v>
      </c>
      <c r="I45" s="12">
        <v>0</v>
      </c>
    </row>
    <row r="46" spans="2:9" ht="15" customHeight="1" x14ac:dyDescent="0.15">
      <c r="B46" t="s">
        <v>88</v>
      </c>
      <c r="C46" s="12">
        <v>41</v>
      </c>
      <c r="D46" s="8">
        <v>1.33</v>
      </c>
      <c r="E46" s="12">
        <v>21</v>
      </c>
      <c r="F46" s="8">
        <v>1.29</v>
      </c>
      <c r="G46" s="12">
        <v>20</v>
      </c>
      <c r="H46" s="8">
        <v>1.38</v>
      </c>
      <c r="I46" s="12">
        <v>0</v>
      </c>
    </row>
    <row r="47" spans="2:9" ht="15" customHeight="1" x14ac:dyDescent="0.15">
      <c r="B47" t="s">
        <v>79</v>
      </c>
      <c r="C47" s="12">
        <v>38</v>
      </c>
      <c r="D47" s="8">
        <v>1.24</v>
      </c>
      <c r="E47" s="12">
        <v>4</v>
      </c>
      <c r="F47" s="8">
        <v>0.25</v>
      </c>
      <c r="G47" s="12">
        <v>34</v>
      </c>
      <c r="H47" s="8">
        <v>2.35</v>
      </c>
      <c r="I47" s="12">
        <v>0</v>
      </c>
    </row>
    <row r="48" spans="2:9" ht="15" customHeight="1" x14ac:dyDescent="0.15">
      <c r="B48" t="s">
        <v>94</v>
      </c>
      <c r="C48" s="12">
        <v>37</v>
      </c>
      <c r="D48" s="8">
        <v>1.2</v>
      </c>
      <c r="E48" s="12">
        <v>1</v>
      </c>
      <c r="F48" s="8">
        <v>0.06</v>
      </c>
      <c r="G48" s="12">
        <v>36</v>
      </c>
      <c r="H48" s="8">
        <v>2.4900000000000002</v>
      </c>
      <c r="I48" s="12">
        <v>0</v>
      </c>
    </row>
    <row r="51" spans="2:9" ht="33" customHeight="1" x14ac:dyDescent="0.15">
      <c r="B51" t="s">
        <v>294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141</v>
      </c>
      <c r="C52" s="12">
        <v>173</v>
      </c>
      <c r="D52" s="8">
        <v>5.63</v>
      </c>
      <c r="E52" s="12">
        <v>160</v>
      </c>
      <c r="F52" s="8">
        <v>9.85</v>
      </c>
      <c r="G52" s="12">
        <v>13</v>
      </c>
      <c r="H52" s="8">
        <v>0.9</v>
      </c>
      <c r="I52" s="12">
        <v>0</v>
      </c>
    </row>
    <row r="53" spans="2:9" ht="15" customHeight="1" x14ac:dyDescent="0.15">
      <c r="B53" t="s">
        <v>136</v>
      </c>
      <c r="C53" s="12">
        <v>108</v>
      </c>
      <c r="D53" s="8">
        <v>3.51</v>
      </c>
      <c r="E53" s="12">
        <v>100</v>
      </c>
      <c r="F53" s="8">
        <v>6.16</v>
      </c>
      <c r="G53" s="12">
        <v>8</v>
      </c>
      <c r="H53" s="8">
        <v>0.55000000000000004</v>
      </c>
      <c r="I53" s="12">
        <v>0</v>
      </c>
    </row>
    <row r="54" spans="2:9" ht="15" customHeight="1" x14ac:dyDescent="0.15">
      <c r="B54" t="s">
        <v>134</v>
      </c>
      <c r="C54" s="12">
        <v>101</v>
      </c>
      <c r="D54" s="8">
        <v>3.29</v>
      </c>
      <c r="E54" s="12">
        <v>35</v>
      </c>
      <c r="F54" s="8">
        <v>2.16</v>
      </c>
      <c r="G54" s="12">
        <v>66</v>
      </c>
      <c r="H54" s="8">
        <v>4.57</v>
      </c>
      <c r="I54" s="12">
        <v>0</v>
      </c>
    </row>
    <row r="55" spans="2:9" ht="15" customHeight="1" x14ac:dyDescent="0.15">
      <c r="B55" t="s">
        <v>144</v>
      </c>
      <c r="C55" s="12">
        <v>89</v>
      </c>
      <c r="D55" s="8">
        <v>2.9</v>
      </c>
      <c r="E55" s="12">
        <v>80</v>
      </c>
      <c r="F55" s="8">
        <v>4.93</v>
      </c>
      <c r="G55" s="12">
        <v>9</v>
      </c>
      <c r="H55" s="8">
        <v>0.62</v>
      </c>
      <c r="I55" s="12">
        <v>0</v>
      </c>
    </row>
    <row r="56" spans="2:9" ht="15" customHeight="1" x14ac:dyDescent="0.15">
      <c r="B56" t="s">
        <v>140</v>
      </c>
      <c r="C56" s="12">
        <v>87</v>
      </c>
      <c r="D56" s="8">
        <v>2.83</v>
      </c>
      <c r="E56" s="12">
        <v>82</v>
      </c>
      <c r="F56" s="8">
        <v>5.05</v>
      </c>
      <c r="G56" s="12">
        <v>5</v>
      </c>
      <c r="H56" s="8">
        <v>0.35</v>
      </c>
      <c r="I56" s="12">
        <v>0</v>
      </c>
    </row>
    <row r="57" spans="2:9" ht="15" customHeight="1" x14ac:dyDescent="0.15">
      <c r="B57" t="s">
        <v>143</v>
      </c>
      <c r="C57" s="12">
        <v>83</v>
      </c>
      <c r="D57" s="8">
        <v>2.7</v>
      </c>
      <c r="E57" s="12">
        <v>61</v>
      </c>
      <c r="F57" s="8">
        <v>3.76</v>
      </c>
      <c r="G57" s="12">
        <v>21</v>
      </c>
      <c r="H57" s="8">
        <v>1.45</v>
      </c>
      <c r="I57" s="12">
        <v>1</v>
      </c>
    </row>
    <row r="58" spans="2:9" ht="15" customHeight="1" x14ac:dyDescent="0.15">
      <c r="B58" t="s">
        <v>138</v>
      </c>
      <c r="C58" s="12">
        <v>80</v>
      </c>
      <c r="D58" s="8">
        <v>2.6</v>
      </c>
      <c r="E58" s="12">
        <v>78</v>
      </c>
      <c r="F58" s="8">
        <v>4.8</v>
      </c>
      <c r="G58" s="12">
        <v>2</v>
      </c>
      <c r="H58" s="8">
        <v>0.14000000000000001</v>
      </c>
      <c r="I58" s="12">
        <v>0</v>
      </c>
    </row>
    <row r="59" spans="2:9" ht="15" customHeight="1" x14ac:dyDescent="0.15">
      <c r="B59" t="s">
        <v>132</v>
      </c>
      <c r="C59" s="12">
        <v>74</v>
      </c>
      <c r="D59" s="8">
        <v>2.41</v>
      </c>
      <c r="E59" s="12">
        <v>59</v>
      </c>
      <c r="F59" s="8">
        <v>3.63</v>
      </c>
      <c r="G59" s="12">
        <v>15</v>
      </c>
      <c r="H59" s="8">
        <v>1.04</v>
      </c>
      <c r="I59" s="12">
        <v>0</v>
      </c>
    </row>
    <row r="60" spans="2:9" ht="15" customHeight="1" x14ac:dyDescent="0.15">
      <c r="B60" t="s">
        <v>137</v>
      </c>
      <c r="C60" s="12">
        <v>74</v>
      </c>
      <c r="D60" s="8">
        <v>2.41</v>
      </c>
      <c r="E60" s="12">
        <v>71</v>
      </c>
      <c r="F60" s="8">
        <v>4.37</v>
      </c>
      <c r="G60" s="12">
        <v>3</v>
      </c>
      <c r="H60" s="8">
        <v>0.21</v>
      </c>
      <c r="I60" s="12">
        <v>0</v>
      </c>
    </row>
    <row r="61" spans="2:9" ht="15" customHeight="1" x14ac:dyDescent="0.15">
      <c r="B61" t="s">
        <v>135</v>
      </c>
      <c r="C61" s="12">
        <v>73</v>
      </c>
      <c r="D61" s="8">
        <v>2.38</v>
      </c>
      <c r="E61" s="12">
        <v>64</v>
      </c>
      <c r="F61" s="8">
        <v>3.94</v>
      </c>
      <c r="G61" s="12">
        <v>9</v>
      </c>
      <c r="H61" s="8">
        <v>0.62</v>
      </c>
      <c r="I61" s="12">
        <v>0</v>
      </c>
    </row>
    <row r="62" spans="2:9" ht="15" customHeight="1" x14ac:dyDescent="0.15">
      <c r="B62" t="s">
        <v>149</v>
      </c>
      <c r="C62" s="12">
        <v>69</v>
      </c>
      <c r="D62" s="8">
        <v>2.25</v>
      </c>
      <c r="E62" s="12">
        <v>5</v>
      </c>
      <c r="F62" s="8">
        <v>0.31</v>
      </c>
      <c r="G62" s="12">
        <v>64</v>
      </c>
      <c r="H62" s="8">
        <v>4.43</v>
      </c>
      <c r="I62" s="12">
        <v>0</v>
      </c>
    </row>
    <row r="63" spans="2:9" ht="15" customHeight="1" x14ac:dyDescent="0.15">
      <c r="B63" t="s">
        <v>130</v>
      </c>
      <c r="C63" s="12">
        <v>66</v>
      </c>
      <c r="D63" s="8">
        <v>2.15</v>
      </c>
      <c r="E63" s="12">
        <v>33</v>
      </c>
      <c r="F63" s="8">
        <v>2.0299999999999998</v>
      </c>
      <c r="G63" s="12">
        <v>33</v>
      </c>
      <c r="H63" s="8">
        <v>2.2799999999999998</v>
      </c>
      <c r="I63" s="12">
        <v>0</v>
      </c>
    </row>
    <row r="64" spans="2:9" ht="15" customHeight="1" x14ac:dyDescent="0.15">
      <c r="B64" t="s">
        <v>139</v>
      </c>
      <c r="C64" s="12">
        <v>65</v>
      </c>
      <c r="D64" s="8">
        <v>2.12</v>
      </c>
      <c r="E64" s="12">
        <v>34</v>
      </c>
      <c r="F64" s="8">
        <v>2.09</v>
      </c>
      <c r="G64" s="12">
        <v>31</v>
      </c>
      <c r="H64" s="8">
        <v>2.15</v>
      </c>
      <c r="I64" s="12">
        <v>0</v>
      </c>
    </row>
    <row r="65" spans="2:9" ht="15" customHeight="1" x14ac:dyDescent="0.15">
      <c r="B65" t="s">
        <v>126</v>
      </c>
      <c r="C65" s="12">
        <v>59</v>
      </c>
      <c r="D65" s="8">
        <v>1.92</v>
      </c>
      <c r="E65" s="12">
        <v>5</v>
      </c>
      <c r="F65" s="8">
        <v>0.31</v>
      </c>
      <c r="G65" s="12">
        <v>54</v>
      </c>
      <c r="H65" s="8">
        <v>3.74</v>
      </c>
      <c r="I65" s="12">
        <v>0</v>
      </c>
    </row>
    <row r="66" spans="2:9" ht="15" customHeight="1" x14ac:dyDescent="0.15">
      <c r="B66" t="s">
        <v>125</v>
      </c>
      <c r="C66" s="12">
        <v>56</v>
      </c>
      <c r="D66" s="8">
        <v>1.82</v>
      </c>
      <c r="E66" s="12">
        <v>9</v>
      </c>
      <c r="F66" s="8">
        <v>0.55000000000000004</v>
      </c>
      <c r="G66" s="12">
        <v>47</v>
      </c>
      <c r="H66" s="8">
        <v>3.25</v>
      </c>
      <c r="I66" s="12">
        <v>0</v>
      </c>
    </row>
    <row r="67" spans="2:9" ht="15" customHeight="1" x14ac:dyDescent="0.15">
      <c r="B67" t="s">
        <v>129</v>
      </c>
      <c r="C67" s="12">
        <v>49</v>
      </c>
      <c r="D67" s="8">
        <v>1.59</v>
      </c>
      <c r="E67" s="12">
        <v>34</v>
      </c>
      <c r="F67" s="8">
        <v>2.09</v>
      </c>
      <c r="G67" s="12">
        <v>15</v>
      </c>
      <c r="H67" s="8">
        <v>1.04</v>
      </c>
      <c r="I67" s="12">
        <v>0</v>
      </c>
    </row>
    <row r="68" spans="2:9" ht="15" customHeight="1" x14ac:dyDescent="0.15">
      <c r="B68" t="s">
        <v>133</v>
      </c>
      <c r="C68" s="12">
        <v>49</v>
      </c>
      <c r="D68" s="8">
        <v>1.59</v>
      </c>
      <c r="E68" s="12">
        <v>10</v>
      </c>
      <c r="F68" s="8">
        <v>0.62</v>
      </c>
      <c r="G68" s="12">
        <v>39</v>
      </c>
      <c r="H68" s="8">
        <v>2.7</v>
      </c>
      <c r="I68" s="12">
        <v>0</v>
      </c>
    </row>
    <row r="69" spans="2:9" ht="15" customHeight="1" x14ac:dyDescent="0.15">
      <c r="B69" t="s">
        <v>127</v>
      </c>
      <c r="C69" s="12">
        <v>48</v>
      </c>
      <c r="D69" s="8">
        <v>1.56</v>
      </c>
      <c r="E69" s="12">
        <v>11</v>
      </c>
      <c r="F69" s="8">
        <v>0.68</v>
      </c>
      <c r="G69" s="12">
        <v>37</v>
      </c>
      <c r="H69" s="8">
        <v>2.56</v>
      </c>
      <c r="I69" s="12">
        <v>0</v>
      </c>
    </row>
    <row r="70" spans="2:9" ht="15" customHeight="1" x14ac:dyDescent="0.15">
      <c r="B70" t="s">
        <v>142</v>
      </c>
      <c r="C70" s="12">
        <v>47</v>
      </c>
      <c r="D70" s="8">
        <v>1.53</v>
      </c>
      <c r="E70" s="12">
        <v>34</v>
      </c>
      <c r="F70" s="8">
        <v>2.09</v>
      </c>
      <c r="G70" s="12">
        <v>13</v>
      </c>
      <c r="H70" s="8">
        <v>0.9</v>
      </c>
      <c r="I70" s="12">
        <v>0</v>
      </c>
    </row>
    <row r="71" spans="2:9" ht="15" customHeight="1" x14ac:dyDescent="0.15">
      <c r="B71" t="s">
        <v>128</v>
      </c>
      <c r="C71" s="12">
        <v>45</v>
      </c>
      <c r="D71" s="8">
        <v>1.46</v>
      </c>
      <c r="E71" s="12">
        <v>20</v>
      </c>
      <c r="F71" s="8">
        <v>1.23</v>
      </c>
      <c r="G71" s="12">
        <v>25</v>
      </c>
      <c r="H71" s="8">
        <v>1.73</v>
      </c>
      <c r="I71" s="12">
        <v>0</v>
      </c>
    </row>
    <row r="73" spans="2:9" ht="15" customHeight="1" x14ac:dyDescent="0.15">
      <c r="B73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295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118</v>
      </c>
      <c r="D6" s="8">
        <v>14.64</v>
      </c>
      <c r="E6" s="12">
        <v>55</v>
      </c>
      <c r="F6" s="8">
        <v>10.199999999999999</v>
      </c>
      <c r="G6" s="12">
        <v>63</v>
      </c>
      <c r="H6" s="8">
        <v>23.77</v>
      </c>
      <c r="I6" s="12">
        <v>0</v>
      </c>
    </row>
    <row r="7" spans="2:9" ht="15" customHeight="1" x14ac:dyDescent="0.15">
      <c r="B7" t="s">
        <v>53</v>
      </c>
      <c r="C7" s="12">
        <v>67</v>
      </c>
      <c r="D7" s="8">
        <v>8.31</v>
      </c>
      <c r="E7" s="12">
        <v>25</v>
      </c>
      <c r="F7" s="8">
        <v>4.6399999999999997</v>
      </c>
      <c r="G7" s="12">
        <v>42</v>
      </c>
      <c r="H7" s="8">
        <v>15.85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5</v>
      </c>
      <c r="D9" s="8">
        <v>0.62</v>
      </c>
      <c r="E9" s="12">
        <v>1</v>
      </c>
      <c r="F9" s="8">
        <v>0.19</v>
      </c>
      <c r="G9" s="12">
        <v>4</v>
      </c>
      <c r="H9" s="8">
        <v>1.51</v>
      </c>
      <c r="I9" s="12">
        <v>0</v>
      </c>
    </row>
    <row r="10" spans="2:9" ht="15" customHeight="1" x14ac:dyDescent="0.15">
      <c r="B10" t="s">
        <v>56</v>
      </c>
      <c r="C10" s="12">
        <v>15</v>
      </c>
      <c r="D10" s="8">
        <v>1.86</v>
      </c>
      <c r="E10" s="12">
        <v>2</v>
      </c>
      <c r="F10" s="8">
        <v>0.37</v>
      </c>
      <c r="G10" s="12">
        <v>12</v>
      </c>
      <c r="H10" s="8">
        <v>4.53</v>
      </c>
      <c r="I10" s="12">
        <v>1</v>
      </c>
    </row>
    <row r="11" spans="2:9" ht="15" customHeight="1" x14ac:dyDescent="0.15">
      <c r="B11" t="s">
        <v>57</v>
      </c>
      <c r="C11" s="12">
        <v>181</v>
      </c>
      <c r="D11" s="8">
        <v>22.46</v>
      </c>
      <c r="E11" s="12">
        <v>113</v>
      </c>
      <c r="F11" s="8">
        <v>20.96</v>
      </c>
      <c r="G11" s="12">
        <v>68</v>
      </c>
      <c r="H11" s="8">
        <v>25.66</v>
      </c>
      <c r="I11" s="12">
        <v>0</v>
      </c>
    </row>
    <row r="12" spans="2:9" ht="15" customHeight="1" x14ac:dyDescent="0.15">
      <c r="B12" t="s">
        <v>58</v>
      </c>
      <c r="C12" s="12">
        <v>6</v>
      </c>
      <c r="D12" s="8">
        <v>0.74</v>
      </c>
      <c r="E12" s="12">
        <v>2</v>
      </c>
      <c r="F12" s="8">
        <v>0.37</v>
      </c>
      <c r="G12" s="12">
        <v>4</v>
      </c>
      <c r="H12" s="8">
        <v>1.51</v>
      </c>
      <c r="I12" s="12">
        <v>0</v>
      </c>
    </row>
    <row r="13" spans="2:9" ht="15" customHeight="1" x14ac:dyDescent="0.15">
      <c r="B13" t="s">
        <v>59</v>
      </c>
      <c r="C13" s="12">
        <v>90</v>
      </c>
      <c r="D13" s="8">
        <v>11.17</v>
      </c>
      <c r="E13" s="12">
        <v>72</v>
      </c>
      <c r="F13" s="8">
        <v>13.36</v>
      </c>
      <c r="G13" s="12">
        <v>18</v>
      </c>
      <c r="H13" s="8">
        <v>6.79</v>
      </c>
      <c r="I13" s="12">
        <v>0</v>
      </c>
    </row>
    <row r="14" spans="2:9" ht="15" customHeight="1" x14ac:dyDescent="0.15">
      <c r="B14" t="s">
        <v>60</v>
      </c>
      <c r="C14" s="12">
        <v>34</v>
      </c>
      <c r="D14" s="8">
        <v>4.22</v>
      </c>
      <c r="E14" s="12">
        <v>25</v>
      </c>
      <c r="F14" s="8">
        <v>4.6399999999999997</v>
      </c>
      <c r="G14" s="12">
        <v>9</v>
      </c>
      <c r="H14" s="8">
        <v>3.4</v>
      </c>
      <c r="I14" s="12">
        <v>0</v>
      </c>
    </row>
    <row r="15" spans="2:9" ht="15" customHeight="1" x14ac:dyDescent="0.15">
      <c r="B15" t="s">
        <v>61</v>
      </c>
      <c r="C15" s="12">
        <v>95</v>
      </c>
      <c r="D15" s="8">
        <v>11.79</v>
      </c>
      <c r="E15" s="12">
        <v>84</v>
      </c>
      <c r="F15" s="8">
        <v>15.58</v>
      </c>
      <c r="G15" s="12">
        <v>11</v>
      </c>
      <c r="H15" s="8">
        <v>4.1500000000000004</v>
      </c>
      <c r="I15" s="12">
        <v>0</v>
      </c>
    </row>
    <row r="16" spans="2:9" ht="15" customHeight="1" x14ac:dyDescent="0.15">
      <c r="B16" t="s">
        <v>62</v>
      </c>
      <c r="C16" s="12">
        <v>103</v>
      </c>
      <c r="D16" s="8">
        <v>12.78</v>
      </c>
      <c r="E16" s="12">
        <v>90</v>
      </c>
      <c r="F16" s="8">
        <v>16.7</v>
      </c>
      <c r="G16" s="12">
        <v>12</v>
      </c>
      <c r="H16" s="8">
        <v>4.53</v>
      </c>
      <c r="I16" s="12">
        <v>1</v>
      </c>
    </row>
    <row r="17" spans="2:9" ht="15" customHeight="1" x14ac:dyDescent="0.15">
      <c r="B17" t="s">
        <v>63</v>
      </c>
      <c r="C17" s="12">
        <v>38</v>
      </c>
      <c r="D17" s="8">
        <v>4.71</v>
      </c>
      <c r="E17" s="12">
        <v>33</v>
      </c>
      <c r="F17" s="8">
        <v>6.12</v>
      </c>
      <c r="G17" s="12">
        <v>5</v>
      </c>
      <c r="H17" s="8">
        <v>1.89</v>
      </c>
      <c r="I17" s="12">
        <v>0</v>
      </c>
    </row>
    <row r="18" spans="2:9" ht="15" customHeight="1" x14ac:dyDescent="0.15">
      <c r="B18" t="s">
        <v>64</v>
      </c>
      <c r="C18" s="12">
        <v>30</v>
      </c>
      <c r="D18" s="8">
        <v>3.72</v>
      </c>
      <c r="E18" s="12">
        <v>21</v>
      </c>
      <c r="F18" s="8">
        <v>3.9</v>
      </c>
      <c r="G18" s="12">
        <v>9</v>
      </c>
      <c r="H18" s="8">
        <v>3.4</v>
      </c>
      <c r="I18" s="12">
        <v>0</v>
      </c>
    </row>
    <row r="19" spans="2:9" ht="15" customHeight="1" x14ac:dyDescent="0.15">
      <c r="B19" t="s">
        <v>65</v>
      </c>
      <c r="C19" s="12">
        <v>24</v>
      </c>
      <c r="D19" s="8">
        <v>2.98</v>
      </c>
      <c r="E19" s="12">
        <v>16</v>
      </c>
      <c r="F19" s="8">
        <v>2.97</v>
      </c>
      <c r="G19" s="12">
        <v>8</v>
      </c>
      <c r="H19" s="8">
        <v>3.02</v>
      </c>
      <c r="I19" s="12">
        <v>0</v>
      </c>
    </row>
    <row r="20" spans="2:9" ht="15" customHeight="1" x14ac:dyDescent="0.15">
      <c r="B20" s="9" t="s">
        <v>215</v>
      </c>
      <c r="C20" s="12">
        <f>SUM(LTBL_28208[総数／事業所数])</f>
        <v>806</v>
      </c>
      <c r="E20" s="12">
        <f>SUBTOTAL(109,LTBL_28208[個人／事業所数])</f>
        <v>539</v>
      </c>
      <c r="G20" s="12">
        <f>SUBTOTAL(109,LTBL_28208[法人／事業所数])</f>
        <v>265</v>
      </c>
      <c r="I20" s="12">
        <f>SUBTOTAL(109,LTBL_28208[法人以外の団体／事業所数])</f>
        <v>2</v>
      </c>
    </row>
    <row r="21" spans="2:9" ht="15" customHeight="1" x14ac:dyDescent="0.15">
      <c r="E21" s="11">
        <f>LTBL_28208[[#Totals],[個人／事業所数]]/LTBL_28208[[#Totals],[総数／事業所数]]</f>
        <v>0.66873449131513651</v>
      </c>
      <c r="G21" s="11">
        <f>LTBL_28208[[#Totals],[法人／事業所数]]/LTBL_28208[[#Totals],[総数／事業所数]]</f>
        <v>0.32878411910669975</v>
      </c>
      <c r="I21" s="11">
        <f>LTBL_28208[[#Totals],[法人以外の団体／事業所数]]/LTBL_28208[[#Totals],[総数／事業所数]]</f>
        <v>2.4813895781637717E-3</v>
      </c>
    </row>
    <row r="23" spans="2:9" ht="33" customHeight="1" x14ac:dyDescent="0.15">
      <c r="B23" t="s">
        <v>214</v>
      </c>
      <c r="C23" s="10" t="s">
        <v>67</v>
      </c>
      <c r="D23" s="10" t="s">
        <v>221</v>
      </c>
      <c r="E23" s="10" t="s">
        <v>69</v>
      </c>
      <c r="F23" s="10" t="s">
        <v>296</v>
      </c>
      <c r="G23" s="10" t="s">
        <v>71</v>
      </c>
      <c r="H23" s="10" t="s">
        <v>297</v>
      </c>
      <c r="I23" s="10" t="s">
        <v>73</v>
      </c>
    </row>
    <row r="24" spans="2:9" ht="15" customHeight="1" x14ac:dyDescent="0.15">
      <c r="B24" t="s">
        <v>217</v>
      </c>
      <c r="C24">
        <v>3</v>
      </c>
      <c r="D24" t="s">
        <v>216</v>
      </c>
      <c r="E24">
        <v>0</v>
      </c>
      <c r="F24" t="s">
        <v>218</v>
      </c>
      <c r="G24">
        <v>3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1</v>
      </c>
      <c r="D25" t="s">
        <v>216</v>
      </c>
      <c r="E25">
        <v>0</v>
      </c>
      <c r="F25" t="s">
        <v>218</v>
      </c>
      <c r="G25">
        <v>1</v>
      </c>
      <c r="H25" t="s">
        <v>219</v>
      </c>
      <c r="I25">
        <v>0</v>
      </c>
    </row>
    <row r="28" spans="2:9" ht="33" customHeight="1" x14ac:dyDescent="0.15">
      <c r="B28" t="s">
        <v>229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89</v>
      </c>
      <c r="C29" s="12">
        <v>89</v>
      </c>
      <c r="D29" s="8">
        <v>11.04</v>
      </c>
      <c r="E29" s="12">
        <v>82</v>
      </c>
      <c r="F29" s="8">
        <v>15.21</v>
      </c>
      <c r="G29" s="12">
        <v>7</v>
      </c>
      <c r="H29" s="8">
        <v>2.64</v>
      </c>
      <c r="I29" s="12">
        <v>0</v>
      </c>
    </row>
    <row r="30" spans="2:9" ht="15" customHeight="1" x14ac:dyDescent="0.15">
      <c r="B30" t="s">
        <v>90</v>
      </c>
      <c r="C30" s="12">
        <v>83</v>
      </c>
      <c r="D30" s="8">
        <v>10.3</v>
      </c>
      <c r="E30" s="12">
        <v>80</v>
      </c>
      <c r="F30" s="8">
        <v>14.84</v>
      </c>
      <c r="G30" s="12">
        <v>3</v>
      </c>
      <c r="H30" s="8">
        <v>1.1299999999999999</v>
      </c>
      <c r="I30" s="12">
        <v>0</v>
      </c>
    </row>
    <row r="31" spans="2:9" ht="15" customHeight="1" x14ac:dyDescent="0.15">
      <c r="B31" t="s">
        <v>86</v>
      </c>
      <c r="C31" s="12">
        <v>81</v>
      </c>
      <c r="D31" s="8">
        <v>10.050000000000001</v>
      </c>
      <c r="E31" s="12">
        <v>68</v>
      </c>
      <c r="F31" s="8">
        <v>12.62</v>
      </c>
      <c r="G31" s="12">
        <v>13</v>
      </c>
      <c r="H31" s="8">
        <v>4.91</v>
      </c>
      <c r="I31" s="12">
        <v>0</v>
      </c>
    </row>
    <row r="32" spans="2:9" ht="15" customHeight="1" x14ac:dyDescent="0.15">
      <c r="B32" t="s">
        <v>84</v>
      </c>
      <c r="C32" s="12">
        <v>62</v>
      </c>
      <c r="D32" s="8">
        <v>7.69</v>
      </c>
      <c r="E32" s="12">
        <v>34</v>
      </c>
      <c r="F32" s="8">
        <v>6.31</v>
      </c>
      <c r="G32" s="12">
        <v>28</v>
      </c>
      <c r="H32" s="8">
        <v>10.57</v>
      </c>
      <c r="I32" s="12">
        <v>0</v>
      </c>
    </row>
    <row r="33" spans="2:9" ht="15" customHeight="1" x14ac:dyDescent="0.15">
      <c r="B33" t="s">
        <v>74</v>
      </c>
      <c r="C33" s="12">
        <v>49</v>
      </c>
      <c r="D33" s="8">
        <v>6.08</v>
      </c>
      <c r="E33" s="12">
        <v>21</v>
      </c>
      <c r="F33" s="8">
        <v>3.9</v>
      </c>
      <c r="G33" s="12">
        <v>28</v>
      </c>
      <c r="H33" s="8">
        <v>10.57</v>
      </c>
      <c r="I33" s="12">
        <v>0</v>
      </c>
    </row>
    <row r="34" spans="2:9" ht="15" customHeight="1" x14ac:dyDescent="0.15">
      <c r="B34" t="s">
        <v>82</v>
      </c>
      <c r="C34" s="12">
        <v>45</v>
      </c>
      <c r="D34" s="8">
        <v>5.58</v>
      </c>
      <c r="E34" s="12">
        <v>37</v>
      </c>
      <c r="F34" s="8">
        <v>6.86</v>
      </c>
      <c r="G34" s="12">
        <v>8</v>
      </c>
      <c r="H34" s="8">
        <v>3.02</v>
      </c>
      <c r="I34" s="12">
        <v>0</v>
      </c>
    </row>
    <row r="35" spans="2:9" ht="15" customHeight="1" x14ac:dyDescent="0.15">
      <c r="B35" t="s">
        <v>76</v>
      </c>
      <c r="C35" s="12">
        <v>40</v>
      </c>
      <c r="D35" s="8">
        <v>4.96</v>
      </c>
      <c r="E35" s="12">
        <v>21</v>
      </c>
      <c r="F35" s="8">
        <v>3.9</v>
      </c>
      <c r="G35" s="12">
        <v>19</v>
      </c>
      <c r="H35" s="8">
        <v>7.17</v>
      </c>
      <c r="I35" s="12">
        <v>0</v>
      </c>
    </row>
    <row r="36" spans="2:9" ht="15" customHeight="1" x14ac:dyDescent="0.15">
      <c r="B36" t="s">
        <v>92</v>
      </c>
      <c r="C36" s="12">
        <v>38</v>
      </c>
      <c r="D36" s="8">
        <v>4.71</v>
      </c>
      <c r="E36" s="12">
        <v>33</v>
      </c>
      <c r="F36" s="8">
        <v>6.12</v>
      </c>
      <c r="G36" s="12">
        <v>5</v>
      </c>
      <c r="H36" s="8">
        <v>1.89</v>
      </c>
      <c r="I36" s="12">
        <v>0</v>
      </c>
    </row>
    <row r="37" spans="2:9" ht="15" customHeight="1" x14ac:dyDescent="0.15">
      <c r="B37" t="s">
        <v>75</v>
      </c>
      <c r="C37" s="12">
        <v>29</v>
      </c>
      <c r="D37" s="8">
        <v>3.6</v>
      </c>
      <c r="E37" s="12">
        <v>13</v>
      </c>
      <c r="F37" s="8">
        <v>2.41</v>
      </c>
      <c r="G37" s="12">
        <v>16</v>
      </c>
      <c r="H37" s="8">
        <v>6.04</v>
      </c>
      <c r="I37" s="12">
        <v>0</v>
      </c>
    </row>
    <row r="38" spans="2:9" ht="15" customHeight="1" x14ac:dyDescent="0.15">
      <c r="B38" t="s">
        <v>93</v>
      </c>
      <c r="C38" s="12">
        <v>23</v>
      </c>
      <c r="D38" s="8">
        <v>2.85</v>
      </c>
      <c r="E38" s="12">
        <v>21</v>
      </c>
      <c r="F38" s="8">
        <v>3.9</v>
      </c>
      <c r="G38" s="12">
        <v>2</v>
      </c>
      <c r="H38" s="8">
        <v>0.75</v>
      </c>
      <c r="I38" s="12">
        <v>0</v>
      </c>
    </row>
    <row r="39" spans="2:9" ht="15" customHeight="1" x14ac:dyDescent="0.15">
      <c r="B39" t="s">
        <v>88</v>
      </c>
      <c r="C39" s="12">
        <v>21</v>
      </c>
      <c r="D39" s="8">
        <v>2.61</v>
      </c>
      <c r="E39" s="12">
        <v>12</v>
      </c>
      <c r="F39" s="8">
        <v>2.23</v>
      </c>
      <c r="G39" s="12">
        <v>9</v>
      </c>
      <c r="H39" s="8">
        <v>3.4</v>
      </c>
      <c r="I39" s="12">
        <v>0</v>
      </c>
    </row>
    <row r="40" spans="2:9" ht="15" customHeight="1" x14ac:dyDescent="0.15">
      <c r="B40" t="s">
        <v>77</v>
      </c>
      <c r="C40" s="12">
        <v>20</v>
      </c>
      <c r="D40" s="8">
        <v>2.48</v>
      </c>
      <c r="E40" s="12">
        <v>7</v>
      </c>
      <c r="F40" s="8">
        <v>1.3</v>
      </c>
      <c r="G40" s="12">
        <v>13</v>
      </c>
      <c r="H40" s="8">
        <v>4.91</v>
      </c>
      <c r="I40" s="12">
        <v>0</v>
      </c>
    </row>
    <row r="41" spans="2:9" ht="15" customHeight="1" x14ac:dyDescent="0.15">
      <c r="B41" t="s">
        <v>81</v>
      </c>
      <c r="C41" s="12">
        <v>20</v>
      </c>
      <c r="D41" s="8">
        <v>2.48</v>
      </c>
      <c r="E41" s="12">
        <v>16</v>
      </c>
      <c r="F41" s="8">
        <v>2.97</v>
      </c>
      <c r="G41" s="12">
        <v>4</v>
      </c>
      <c r="H41" s="8">
        <v>1.51</v>
      </c>
      <c r="I41" s="12">
        <v>0</v>
      </c>
    </row>
    <row r="42" spans="2:9" ht="15" customHeight="1" x14ac:dyDescent="0.15">
      <c r="B42" t="s">
        <v>83</v>
      </c>
      <c r="C42" s="12">
        <v>18</v>
      </c>
      <c r="D42" s="8">
        <v>2.23</v>
      </c>
      <c r="E42" s="12">
        <v>10</v>
      </c>
      <c r="F42" s="8">
        <v>1.86</v>
      </c>
      <c r="G42" s="12">
        <v>8</v>
      </c>
      <c r="H42" s="8">
        <v>3.02</v>
      </c>
      <c r="I42" s="12">
        <v>0</v>
      </c>
    </row>
    <row r="43" spans="2:9" ht="15" customHeight="1" x14ac:dyDescent="0.15">
      <c r="B43" t="s">
        <v>78</v>
      </c>
      <c r="C43" s="12">
        <v>13</v>
      </c>
      <c r="D43" s="8">
        <v>1.61</v>
      </c>
      <c r="E43" s="12">
        <v>7</v>
      </c>
      <c r="F43" s="8">
        <v>1.3</v>
      </c>
      <c r="G43" s="12">
        <v>6</v>
      </c>
      <c r="H43" s="8">
        <v>2.2599999999999998</v>
      </c>
      <c r="I43" s="12">
        <v>0</v>
      </c>
    </row>
    <row r="44" spans="2:9" ht="15" customHeight="1" x14ac:dyDescent="0.15">
      <c r="B44" t="s">
        <v>87</v>
      </c>
      <c r="C44" s="12">
        <v>13</v>
      </c>
      <c r="D44" s="8">
        <v>1.61</v>
      </c>
      <c r="E44" s="12">
        <v>13</v>
      </c>
      <c r="F44" s="8">
        <v>2.41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106</v>
      </c>
      <c r="C45" s="12">
        <v>12</v>
      </c>
      <c r="D45" s="8">
        <v>1.49</v>
      </c>
      <c r="E45" s="12">
        <v>12</v>
      </c>
      <c r="F45" s="8">
        <v>2.23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91</v>
      </c>
      <c r="C46" s="12">
        <v>11</v>
      </c>
      <c r="D46" s="8">
        <v>1.36</v>
      </c>
      <c r="E46" s="12">
        <v>5</v>
      </c>
      <c r="F46" s="8">
        <v>0.93</v>
      </c>
      <c r="G46" s="12">
        <v>6</v>
      </c>
      <c r="H46" s="8">
        <v>2.2599999999999998</v>
      </c>
      <c r="I46" s="12">
        <v>0</v>
      </c>
    </row>
    <row r="47" spans="2:9" ht="15" customHeight="1" x14ac:dyDescent="0.15">
      <c r="B47" t="s">
        <v>109</v>
      </c>
      <c r="C47" s="12">
        <v>9</v>
      </c>
      <c r="D47" s="8">
        <v>1.1200000000000001</v>
      </c>
      <c r="E47" s="12">
        <v>5</v>
      </c>
      <c r="F47" s="8">
        <v>0.93</v>
      </c>
      <c r="G47" s="12">
        <v>3</v>
      </c>
      <c r="H47" s="8">
        <v>1.1299999999999999</v>
      </c>
      <c r="I47" s="12">
        <v>1</v>
      </c>
    </row>
    <row r="48" spans="2:9" ht="15" customHeight="1" x14ac:dyDescent="0.15">
      <c r="B48" t="s">
        <v>107</v>
      </c>
      <c r="C48" s="12">
        <v>8</v>
      </c>
      <c r="D48" s="8">
        <v>0.99</v>
      </c>
      <c r="E48" s="12">
        <v>4</v>
      </c>
      <c r="F48" s="8">
        <v>0.74</v>
      </c>
      <c r="G48" s="12">
        <v>4</v>
      </c>
      <c r="H48" s="8">
        <v>1.51</v>
      </c>
      <c r="I48" s="12">
        <v>0</v>
      </c>
    </row>
    <row r="51" spans="2:9" ht="33" customHeight="1" x14ac:dyDescent="0.15">
      <c r="B51" t="s">
        <v>230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134</v>
      </c>
      <c r="C52" s="12">
        <v>53</v>
      </c>
      <c r="D52" s="8">
        <v>6.58</v>
      </c>
      <c r="E52" s="12">
        <v>47</v>
      </c>
      <c r="F52" s="8">
        <v>8.7200000000000006</v>
      </c>
      <c r="G52" s="12">
        <v>6</v>
      </c>
      <c r="H52" s="8">
        <v>2.2599999999999998</v>
      </c>
      <c r="I52" s="12">
        <v>0</v>
      </c>
    </row>
    <row r="53" spans="2:9" ht="15" customHeight="1" x14ac:dyDescent="0.15">
      <c r="B53" t="s">
        <v>141</v>
      </c>
      <c r="C53" s="12">
        <v>45</v>
      </c>
      <c r="D53" s="8">
        <v>5.58</v>
      </c>
      <c r="E53" s="12">
        <v>45</v>
      </c>
      <c r="F53" s="8">
        <v>8.35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140</v>
      </c>
      <c r="C54" s="12">
        <v>28</v>
      </c>
      <c r="D54" s="8">
        <v>3.47</v>
      </c>
      <c r="E54" s="12">
        <v>27</v>
      </c>
      <c r="F54" s="8">
        <v>5.01</v>
      </c>
      <c r="G54" s="12">
        <v>1</v>
      </c>
      <c r="H54" s="8">
        <v>0.38</v>
      </c>
      <c r="I54" s="12">
        <v>0</v>
      </c>
    </row>
    <row r="55" spans="2:9" ht="15" customHeight="1" x14ac:dyDescent="0.15">
      <c r="B55" t="s">
        <v>132</v>
      </c>
      <c r="C55" s="12">
        <v>25</v>
      </c>
      <c r="D55" s="8">
        <v>3.1</v>
      </c>
      <c r="E55" s="12">
        <v>19</v>
      </c>
      <c r="F55" s="8">
        <v>3.53</v>
      </c>
      <c r="G55" s="12">
        <v>6</v>
      </c>
      <c r="H55" s="8">
        <v>2.2599999999999998</v>
      </c>
      <c r="I55" s="12">
        <v>0</v>
      </c>
    </row>
    <row r="56" spans="2:9" ht="15" customHeight="1" x14ac:dyDescent="0.15">
      <c r="B56" t="s">
        <v>143</v>
      </c>
      <c r="C56" s="12">
        <v>25</v>
      </c>
      <c r="D56" s="8">
        <v>3.1</v>
      </c>
      <c r="E56" s="12">
        <v>22</v>
      </c>
      <c r="F56" s="8">
        <v>4.08</v>
      </c>
      <c r="G56" s="12">
        <v>3</v>
      </c>
      <c r="H56" s="8">
        <v>1.1299999999999999</v>
      </c>
      <c r="I56" s="12">
        <v>0</v>
      </c>
    </row>
    <row r="57" spans="2:9" ht="15" customHeight="1" x14ac:dyDescent="0.15">
      <c r="B57" t="s">
        <v>125</v>
      </c>
      <c r="C57" s="12">
        <v>22</v>
      </c>
      <c r="D57" s="8">
        <v>2.73</v>
      </c>
      <c r="E57" s="12">
        <v>7</v>
      </c>
      <c r="F57" s="8">
        <v>1.3</v>
      </c>
      <c r="G57" s="12">
        <v>15</v>
      </c>
      <c r="H57" s="8">
        <v>5.66</v>
      </c>
      <c r="I57" s="12">
        <v>0</v>
      </c>
    </row>
    <row r="58" spans="2:9" ht="15" customHeight="1" x14ac:dyDescent="0.15">
      <c r="B58" t="s">
        <v>127</v>
      </c>
      <c r="C58" s="12">
        <v>22</v>
      </c>
      <c r="D58" s="8">
        <v>2.73</v>
      </c>
      <c r="E58" s="12">
        <v>15</v>
      </c>
      <c r="F58" s="8">
        <v>2.78</v>
      </c>
      <c r="G58" s="12">
        <v>7</v>
      </c>
      <c r="H58" s="8">
        <v>2.64</v>
      </c>
      <c r="I58" s="12">
        <v>0</v>
      </c>
    </row>
    <row r="59" spans="2:9" ht="15" customHeight="1" x14ac:dyDescent="0.15">
      <c r="B59" t="s">
        <v>148</v>
      </c>
      <c r="C59" s="12">
        <v>22</v>
      </c>
      <c r="D59" s="8">
        <v>2.73</v>
      </c>
      <c r="E59" s="12">
        <v>20</v>
      </c>
      <c r="F59" s="8">
        <v>3.71</v>
      </c>
      <c r="G59" s="12">
        <v>2</v>
      </c>
      <c r="H59" s="8">
        <v>0.75</v>
      </c>
      <c r="I59" s="12">
        <v>0</v>
      </c>
    </row>
    <row r="60" spans="2:9" ht="15" customHeight="1" x14ac:dyDescent="0.15">
      <c r="B60" t="s">
        <v>138</v>
      </c>
      <c r="C60" s="12">
        <v>22</v>
      </c>
      <c r="D60" s="8">
        <v>2.73</v>
      </c>
      <c r="E60" s="12">
        <v>22</v>
      </c>
      <c r="F60" s="8">
        <v>4.08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137</v>
      </c>
      <c r="C61" s="12">
        <v>19</v>
      </c>
      <c r="D61" s="8">
        <v>2.36</v>
      </c>
      <c r="E61" s="12">
        <v>16</v>
      </c>
      <c r="F61" s="8">
        <v>2.97</v>
      </c>
      <c r="G61" s="12">
        <v>3</v>
      </c>
      <c r="H61" s="8">
        <v>1.1299999999999999</v>
      </c>
      <c r="I61" s="12">
        <v>0</v>
      </c>
    </row>
    <row r="62" spans="2:9" ht="15" customHeight="1" x14ac:dyDescent="0.15">
      <c r="B62" t="s">
        <v>144</v>
      </c>
      <c r="C62" s="12">
        <v>18</v>
      </c>
      <c r="D62" s="8">
        <v>2.23</v>
      </c>
      <c r="E62" s="12">
        <v>17</v>
      </c>
      <c r="F62" s="8">
        <v>3.15</v>
      </c>
      <c r="G62" s="12">
        <v>1</v>
      </c>
      <c r="H62" s="8">
        <v>0.38</v>
      </c>
      <c r="I62" s="12">
        <v>0</v>
      </c>
    </row>
    <row r="63" spans="2:9" ht="15" customHeight="1" x14ac:dyDescent="0.15">
      <c r="B63" t="s">
        <v>151</v>
      </c>
      <c r="C63" s="12">
        <v>16</v>
      </c>
      <c r="D63" s="8">
        <v>1.99</v>
      </c>
      <c r="E63" s="12">
        <v>16</v>
      </c>
      <c r="F63" s="8">
        <v>2.97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130</v>
      </c>
      <c r="C64" s="12">
        <v>13</v>
      </c>
      <c r="D64" s="8">
        <v>1.61</v>
      </c>
      <c r="E64" s="12">
        <v>8</v>
      </c>
      <c r="F64" s="8">
        <v>1.48</v>
      </c>
      <c r="G64" s="12">
        <v>5</v>
      </c>
      <c r="H64" s="8">
        <v>1.89</v>
      </c>
      <c r="I64" s="12">
        <v>0</v>
      </c>
    </row>
    <row r="65" spans="2:9" ht="15" customHeight="1" x14ac:dyDescent="0.15">
      <c r="B65" t="s">
        <v>142</v>
      </c>
      <c r="C65" s="12">
        <v>13</v>
      </c>
      <c r="D65" s="8">
        <v>1.61</v>
      </c>
      <c r="E65" s="12">
        <v>11</v>
      </c>
      <c r="F65" s="8">
        <v>2.04</v>
      </c>
      <c r="G65" s="12">
        <v>2</v>
      </c>
      <c r="H65" s="8">
        <v>0.75</v>
      </c>
      <c r="I65" s="12">
        <v>0</v>
      </c>
    </row>
    <row r="66" spans="2:9" ht="15" customHeight="1" x14ac:dyDescent="0.15">
      <c r="B66" t="s">
        <v>155</v>
      </c>
      <c r="C66" s="12">
        <v>12</v>
      </c>
      <c r="D66" s="8">
        <v>1.49</v>
      </c>
      <c r="E66" s="12">
        <v>9</v>
      </c>
      <c r="F66" s="8">
        <v>1.67</v>
      </c>
      <c r="G66" s="12">
        <v>3</v>
      </c>
      <c r="H66" s="8">
        <v>1.1299999999999999</v>
      </c>
      <c r="I66" s="12">
        <v>0</v>
      </c>
    </row>
    <row r="67" spans="2:9" ht="15" customHeight="1" x14ac:dyDescent="0.15">
      <c r="B67" t="s">
        <v>131</v>
      </c>
      <c r="C67" s="12">
        <v>12</v>
      </c>
      <c r="D67" s="8">
        <v>1.49</v>
      </c>
      <c r="E67" s="12">
        <v>6</v>
      </c>
      <c r="F67" s="8">
        <v>1.1100000000000001</v>
      </c>
      <c r="G67" s="12">
        <v>6</v>
      </c>
      <c r="H67" s="8">
        <v>2.2599999999999998</v>
      </c>
      <c r="I67" s="12">
        <v>0</v>
      </c>
    </row>
    <row r="68" spans="2:9" ht="15" customHeight="1" x14ac:dyDescent="0.15">
      <c r="B68" t="s">
        <v>135</v>
      </c>
      <c r="C68" s="12">
        <v>12</v>
      </c>
      <c r="D68" s="8">
        <v>1.49</v>
      </c>
      <c r="E68" s="12">
        <v>10</v>
      </c>
      <c r="F68" s="8">
        <v>1.86</v>
      </c>
      <c r="G68" s="12">
        <v>2</v>
      </c>
      <c r="H68" s="8">
        <v>0.75</v>
      </c>
      <c r="I68" s="12">
        <v>0</v>
      </c>
    </row>
    <row r="69" spans="2:9" ht="15" customHeight="1" x14ac:dyDescent="0.15">
      <c r="B69" t="s">
        <v>166</v>
      </c>
      <c r="C69" s="12">
        <v>12</v>
      </c>
      <c r="D69" s="8">
        <v>1.49</v>
      </c>
      <c r="E69" s="12">
        <v>12</v>
      </c>
      <c r="F69" s="8">
        <v>2.23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146</v>
      </c>
      <c r="C70" s="12">
        <v>11</v>
      </c>
      <c r="D70" s="8">
        <v>1.36</v>
      </c>
      <c r="E70" s="12">
        <v>8</v>
      </c>
      <c r="F70" s="8">
        <v>1.48</v>
      </c>
      <c r="G70" s="12">
        <v>3</v>
      </c>
      <c r="H70" s="8">
        <v>1.1299999999999999</v>
      </c>
      <c r="I70" s="12">
        <v>0</v>
      </c>
    </row>
    <row r="71" spans="2:9" ht="15" customHeight="1" x14ac:dyDescent="0.15">
      <c r="B71" t="s">
        <v>167</v>
      </c>
      <c r="C71" s="12">
        <v>10</v>
      </c>
      <c r="D71" s="8">
        <v>1.24</v>
      </c>
      <c r="E71" s="12">
        <v>6</v>
      </c>
      <c r="F71" s="8">
        <v>1.1100000000000001</v>
      </c>
      <c r="G71" s="12">
        <v>4</v>
      </c>
      <c r="H71" s="8">
        <v>1.51</v>
      </c>
      <c r="I71" s="12">
        <v>0</v>
      </c>
    </row>
    <row r="72" spans="2:9" ht="15" customHeight="1" x14ac:dyDescent="0.15">
      <c r="B72" t="s">
        <v>168</v>
      </c>
      <c r="C72" s="12">
        <v>10</v>
      </c>
      <c r="D72" s="8">
        <v>1.24</v>
      </c>
      <c r="E72" s="12">
        <v>4</v>
      </c>
      <c r="F72" s="8">
        <v>0.74</v>
      </c>
      <c r="G72" s="12">
        <v>6</v>
      </c>
      <c r="H72" s="8">
        <v>2.2599999999999998</v>
      </c>
      <c r="I72" s="12">
        <v>0</v>
      </c>
    </row>
    <row r="73" spans="2:9" ht="15" customHeight="1" x14ac:dyDescent="0.15">
      <c r="B73" t="s">
        <v>128</v>
      </c>
      <c r="C73" s="12">
        <v>10</v>
      </c>
      <c r="D73" s="8">
        <v>1.24</v>
      </c>
      <c r="E73" s="12">
        <v>8</v>
      </c>
      <c r="F73" s="8">
        <v>1.48</v>
      </c>
      <c r="G73" s="12">
        <v>2</v>
      </c>
      <c r="H73" s="8">
        <v>0.75</v>
      </c>
      <c r="I73" s="12">
        <v>0</v>
      </c>
    </row>
    <row r="75" spans="2:9" ht="15" customHeight="1" x14ac:dyDescent="0.15">
      <c r="B75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298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446</v>
      </c>
      <c r="D6" s="8">
        <v>13.64</v>
      </c>
      <c r="E6" s="12">
        <v>287</v>
      </c>
      <c r="F6" s="8">
        <v>11.9</v>
      </c>
      <c r="G6" s="12">
        <v>159</v>
      </c>
      <c r="H6" s="8">
        <v>18.93</v>
      </c>
      <c r="I6" s="12">
        <v>0</v>
      </c>
    </row>
    <row r="7" spans="2:9" ht="15" customHeight="1" x14ac:dyDescent="0.15">
      <c r="B7" t="s">
        <v>53</v>
      </c>
      <c r="C7" s="12">
        <v>398</v>
      </c>
      <c r="D7" s="8">
        <v>12.17</v>
      </c>
      <c r="E7" s="12">
        <v>295</v>
      </c>
      <c r="F7" s="8">
        <v>12.23</v>
      </c>
      <c r="G7" s="12">
        <v>102</v>
      </c>
      <c r="H7" s="8">
        <v>12.14</v>
      </c>
      <c r="I7" s="12">
        <v>1</v>
      </c>
    </row>
    <row r="8" spans="2:9" ht="15" customHeight="1" x14ac:dyDescent="0.15">
      <c r="B8" t="s">
        <v>54</v>
      </c>
      <c r="C8" s="12">
        <v>2</v>
      </c>
      <c r="D8" s="8">
        <v>0.06</v>
      </c>
      <c r="E8" s="12">
        <v>0</v>
      </c>
      <c r="F8" s="8">
        <v>0</v>
      </c>
      <c r="G8" s="12">
        <v>2</v>
      </c>
      <c r="H8" s="8">
        <v>0.24</v>
      </c>
      <c r="I8" s="12">
        <v>0</v>
      </c>
    </row>
    <row r="9" spans="2:9" ht="15" customHeight="1" x14ac:dyDescent="0.15">
      <c r="B9" t="s">
        <v>55</v>
      </c>
      <c r="C9" s="12">
        <v>20</v>
      </c>
      <c r="D9" s="8">
        <v>0.61</v>
      </c>
      <c r="E9" s="12">
        <v>5</v>
      </c>
      <c r="F9" s="8">
        <v>0.21</v>
      </c>
      <c r="G9" s="12">
        <v>15</v>
      </c>
      <c r="H9" s="8">
        <v>1.79</v>
      </c>
      <c r="I9" s="12">
        <v>0</v>
      </c>
    </row>
    <row r="10" spans="2:9" ht="15" customHeight="1" x14ac:dyDescent="0.15">
      <c r="B10" t="s">
        <v>56</v>
      </c>
      <c r="C10" s="12">
        <v>26</v>
      </c>
      <c r="D10" s="8">
        <v>0.8</v>
      </c>
      <c r="E10" s="12">
        <v>15</v>
      </c>
      <c r="F10" s="8">
        <v>0.62</v>
      </c>
      <c r="G10" s="12">
        <v>8</v>
      </c>
      <c r="H10" s="8">
        <v>0.95</v>
      </c>
      <c r="I10" s="12">
        <v>3</v>
      </c>
    </row>
    <row r="11" spans="2:9" ht="15" customHeight="1" x14ac:dyDescent="0.15">
      <c r="B11" t="s">
        <v>57</v>
      </c>
      <c r="C11" s="12">
        <v>834</v>
      </c>
      <c r="D11" s="8">
        <v>25.51</v>
      </c>
      <c r="E11" s="12">
        <v>548</v>
      </c>
      <c r="F11" s="8">
        <v>22.72</v>
      </c>
      <c r="G11" s="12">
        <v>285</v>
      </c>
      <c r="H11" s="8">
        <v>33.93</v>
      </c>
      <c r="I11" s="12">
        <v>1</v>
      </c>
    </row>
    <row r="12" spans="2:9" ht="15" customHeight="1" x14ac:dyDescent="0.15">
      <c r="B12" t="s">
        <v>58</v>
      </c>
      <c r="C12" s="12">
        <v>23</v>
      </c>
      <c r="D12" s="8">
        <v>0.7</v>
      </c>
      <c r="E12" s="12">
        <v>10</v>
      </c>
      <c r="F12" s="8">
        <v>0.41</v>
      </c>
      <c r="G12" s="12">
        <v>13</v>
      </c>
      <c r="H12" s="8">
        <v>1.55</v>
      </c>
      <c r="I12" s="12">
        <v>0</v>
      </c>
    </row>
    <row r="13" spans="2:9" ht="15" customHeight="1" x14ac:dyDescent="0.15">
      <c r="B13" t="s">
        <v>59</v>
      </c>
      <c r="C13" s="12">
        <v>168</v>
      </c>
      <c r="D13" s="8">
        <v>5.14</v>
      </c>
      <c r="E13" s="12">
        <v>106</v>
      </c>
      <c r="F13" s="8">
        <v>4.3899999999999997</v>
      </c>
      <c r="G13" s="12">
        <v>62</v>
      </c>
      <c r="H13" s="8">
        <v>7.38</v>
      </c>
      <c r="I13" s="12">
        <v>0</v>
      </c>
    </row>
    <row r="14" spans="2:9" ht="15" customHeight="1" x14ac:dyDescent="0.15">
      <c r="B14" t="s">
        <v>60</v>
      </c>
      <c r="C14" s="12">
        <v>121</v>
      </c>
      <c r="D14" s="8">
        <v>3.7</v>
      </c>
      <c r="E14" s="12">
        <v>88</v>
      </c>
      <c r="F14" s="8">
        <v>3.65</v>
      </c>
      <c r="G14" s="12">
        <v>33</v>
      </c>
      <c r="H14" s="8">
        <v>3.93</v>
      </c>
      <c r="I14" s="12">
        <v>0</v>
      </c>
    </row>
    <row r="15" spans="2:9" ht="15" customHeight="1" x14ac:dyDescent="0.15">
      <c r="B15" t="s">
        <v>61</v>
      </c>
      <c r="C15" s="12">
        <v>643</v>
      </c>
      <c r="D15" s="8">
        <v>19.670000000000002</v>
      </c>
      <c r="E15" s="12">
        <v>593</v>
      </c>
      <c r="F15" s="8">
        <v>24.59</v>
      </c>
      <c r="G15" s="12">
        <v>48</v>
      </c>
      <c r="H15" s="8">
        <v>5.71</v>
      </c>
      <c r="I15" s="12">
        <v>2</v>
      </c>
    </row>
    <row r="16" spans="2:9" ht="15" customHeight="1" x14ac:dyDescent="0.15">
      <c r="B16" t="s">
        <v>62</v>
      </c>
      <c r="C16" s="12">
        <v>307</v>
      </c>
      <c r="D16" s="8">
        <v>9.39</v>
      </c>
      <c r="E16" s="12">
        <v>271</v>
      </c>
      <c r="F16" s="8">
        <v>11.24</v>
      </c>
      <c r="G16" s="12">
        <v>35</v>
      </c>
      <c r="H16" s="8">
        <v>4.17</v>
      </c>
      <c r="I16" s="12">
        <v>1</v>
      </c>
    </row>
    <row r="17" spans="2:9" ht="15" customHeight="1" x14ac:dyDescent="0.15">
      <c r="B17" t="s">
        <v>63</v>
      </c>
      <c r="C17" s="12">
        <v>105</v>
      </c>
      <c r="D17" s="8">
        <v>3.21</v>
      </c>
      <c r="E17" s="12">
        <v>90</v>
      </c>
      <c r="F17" s="8">
        <v>3.73</v>
      </c>
      <c r="G17" s="12">
        <v>12</v>
      </c>
      <c r="H17" s="8">
        <v>1.43</v>
      </c>
      <c r="I17" s="12">
        <v>3</v>
      </c>
    </row>
    <row r="18" spans="2:9" ht="15" customHeight="1" x14ac:dyDescent="0.15">
      <c r="B18" t="s">
        <v>64</v>
      </c>
      <c r="C18" s="12">
        <v>96</v>
      </c>
      <c r="D18" s="8">
        <v>2.94</v>
      </c>
      <c r="E18" s="12">
        <v>70</v>
      </c>
      <c r="F18" s="8">
        <v>2.9</v>
      </c>
      <c r="G18" s="12">
        <v>26</v>
      </c>
      <c r="H18" s="8">
        <v>3.1</v>
      </c>
      <c r="I18" s="12">
        <v>0</v>
      </c>
    </row>
    <row r="19" spans="2:9" ht="15" customHeight="1" x14ac:dyDescent="0.15">
      <c r="B19" t="s">
        <v>65</v>
      </c>
      <c r="C19" s="12">
        <v>80</v>
      </c>
      <c r="D19" s="8">
        <v>2.4500000000000002</v>
      </c>
      <c r="E19" s="12">
        <v>34</v>
      </c>
      <c r="F19" s="8">
        <v>1.41</v>
      </c>
      <c r="G19" s="12">
        <v>40</v>
      </c>
      <c r="H19" s="8">
        <v>4.76</v>
      </c>
      <c r="I19" s="12">
        <v>6</v>
      </c>
    </row>
    <row r="20" spans="2:9" ht="15" customHeight="1" x14ac:dyDescent="0.15">
      <c r="B20" s="9" t="s">
        <v>215</v>
      </c>
      <c r="C20" s="12">
        <f>SUM(LTBL_28209[総数／事業所数])</f>
        <v>3269</v>
      </c>
      <c r="E20" s="12">
        <f>SUBTOTAL(109,LTBL_28209[個人／事業所数])</f>
        <v>2412</v>
      </c>
      <c r="G20" s="12">
        <f>SUBTOTAL(109,LTBL_28209[法人／事業所数])</f>
        <v>840</v>
      </c>
      <c r="I20" s="12">
        <f>SUBTOTAL(109,LTBL_28209[法人以外の団体／事業所数])</f>
        <v>17</v>
      </c>
    </row>
    <row r="21" spans="2:9" ht="15" customHeight="1" x14ac:dyDescent="0.15">
      <c r="E21" s="11">
        <f>LTBL_28209[[#Totals],[個人／事業所数]]/LTBL_28209[[#Totals],[総数／事業所数]]</f>
        <v>0.73784031814010398</v>
      </c>
      <c r="G21" s="11">
        <f>LTBL_28209[[#Totals],[法人／事業所数]]/LTBL_28209[[#Totals],[総数／事業所数]]</f>
        <v>0.2569593147751606</v>
      </c>
      <c r="I21" s="11">
        <f>LTBL_28209[[#Totals],[法人以外の団体／事業所数]]/LTBL_28209[[#Totals],[総数／事業所数]]</f>
        <v>5.2003670847353932E-3</v>
      </c>
    </row>
    <row r="23" spans="2:9" ht="33" customHeight="1" x14ac:dyDescent="0.15">
      <c r="B23" t="s">
        <v>214</v>
      </c>
      <c r="C23" s="10" t="s">
        <v>67</v>
      </c>
      <c r="D23" s="10" t="s">
        <v>221</v>
      </c>
      <c r="E23" s="10" t="s">
        <v>69</v>
      </c>
      <c r="F23" s="10" t="s">
        <v>222</v>
      </c>
      <c r="G23" s="10" t="s">
        <v>71</v>
      </c>
      <c r="H23" s="10" t="s">
        <v>274</v>
      </c>
      <c r="I23" s="10" t="s">
        <v>73</v>
      </c>
    </row>
    <row r="24" spans="2:9" ht="15" customHeight="1" x14ac:dyDescent="0.15">
      <c r="B24" t="s">
        <v>217</v>
      </c>
      <c r="C24">
        <v>29</v>
      </c>
      <c r="D24" t="s">
        <v>216</v>
      </c>
      <c r="E24">
        <v>0</v>
      </c>
      <c r="F24" t="s">
        <v>218</v>
      </c>
      <c r="G24">
        <v>28</v>
      </c>
      <c r="H24" t="s">
        <v>219</v>
      </c>
      <c r="I24">
        <v>1</v>
      </c>
    </row>
    <row r="25" spans="2:9" ht="15" customHeight="1" x14ac:dyDescent="0.15">
      <c r="B25" t="s">
        <v>220</v>
      </c>
      <c r="C25">
        <v>2</v>
      </c>
      <c r="D25" t="s">
        <v>216</v>
      </c>
      <c r="E25">
        <v>0</v>
      </c>
      <c r="F25" t="s">
        <v>218</v>
      </c>
      <c r="G25">
        <v>2</v>
      </c>
      <c r="H25" t="s">
        <v>219</v>
      </c>
      <c r="I25">
        <v>0</v>
      </c>
    </row>
    <row r="28" spans="2:9" ht="33" customHeight="1" x14ac:dyDescent="0.15">
      <c r="B28" t="s">
        <v>224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89</v>
      </c>
      <c r="C29" s="12">
        <v>470</v>
      </c>
      <c r="D29" s="8">
        <v>14.38</v>
      </c>
      <c r="E29" s="12">
        <v>437</v>
      </c>
      <c r="F29" s="8">
        <v>18.12</v>
      </c>
      <c r="G29" s="12">
        <v>31</v>
      </c>
      <c r="H29" s="8">
        <v>3.69</v>
      </c>
      <c r="I29" s="12">
        <v>2</v>
      </c>
    </row>
    <row r="30" spans="2:9" ht="15" customHeight="1" x14ac:dyDescent="0.15">
      <c r="B30" t="s">
        <v>84</v>
      </c>
      <c r="C30" s="12">
        <v>276</v>
      </c>
      <c r="D30" s="8">
        <v>8.44</v>
      </c>
      <c r="E30" s="12">
        <v>181</v>
      </c>
      <c r="F30" s="8">
        <v>7.5</v>
      </c>
      <c r="G30" s="12">
        <v>95</v>
      </c>
      <c r="H30" s="8">
        <v>11.31</v>
      </c>
      <c r="I30" s="12">
        <v>0</v>
      </c>
    </row>
    <row r="31" spans="2:9" ht="15" customHeight="1" x14ac:dyDescent="0.15">
      <c r="B31" t="s">
        <v>90</v>
      </c>
      <c r="C31" s="12">
        <v>262</v>
      </c>
      <c r="D31" s="8">
        <v>8.01</v>
      </c>
      <c r="E31" s="12">
        <v>242</v>
      </c>
      <c r="F31" s="8">
        <v>10.029999999999999</v>
      </c>
      <c r="G31" s="12">
        <v>20</v>
      </c>
      <c r="H31" s="8">
        <v>2.38</v>
      </c>
      <c r="I31" s="12">
        <v>0</v>
      </c>
    </row>
    <row r="32" spans="2:9" ht="15" customHeight="1" x14ac:dyDescent="0.15">
      <c r="B32" t="s">
        <v>74</v>
      </c>
      <c r="C32" s="12">
        <v>210</v>
      </c>
      <c r="D32" s="8">
        <v>6.42</v>
      </c>
      <c r="E32" s="12">
        <v>107</v>
      </c>
      <c r="F32" s="8">
        <v>4.4400000000000004</v>
      </c>
      <c r="G32" s="12">
        <v>103</v>
      </c>
      <c r="H32" s="8">
        <v>12.26</v>
      </c>
      <c r="I32" s="12">
        <v>0</v>
      </c>
    </row>
    <row r="33" spans="2:9" ht="15" customHeight="1" x14ac:dyDescent="0.15">
      <c r="B33" t="s">
        <v>82</v>
      </c>
      <c r="C33" s="12">
        <v>193</v>
      </c>
      <c r="D33" s="8">
        <v>5.9</v>
      </c>
      <c r="E33" s="12">
        <v>146</v>
      </c>
      <c r="F33" s="8">
        <v>6.05</v>
      </c>
      <c r="G33" s="12">
        <v>46</v>
      </c>
      <c r="H33" s="8">
        <v>5.48</v>
      </c>
      <c r="I33" s="12">
        <v>1</v>
      </c>
    </row>
    <row r="34" spans="2:9" ht="15" customHeight="1" x14ac:dyDescent="0.15">
      <c r="B34" t="s">
        <v>108</v>
      </c>
      <c r="C34" s="12">
        <v>151</v>
      </c>
      <c r="D34" s="8">
        <v>4.62</v>
      </c>
      <c r="E34" s="12">
        <v>140</v>
      </c>
      <c r="F34" s="8">
        <v>5.8</v>
      </c>
      <c r="G34" s="12">
        <v>11</v>
      </c>
      <c r="H34" s="8">
        <v>1.31</v>
      </c>
      <c r="I34" s="12">
        <v>0</v>
      </c>
    </row>
    <row r="35" spans="2:9" ht="15" customHeight="1" x14ac:dyDescent="0.15">
      <c r="B35" t="s">
        <v>75</v>
      </c>
      <c r="C35" s="12">
        <v>136</v>
      </c>
      <c r="D35" s="8">
        <v>4.16</v>
      </c>
      <c r="E35" s="12">
        <v>110</v>
      </c>
      <c r="F35" s="8">
        <v>4.5599999999999996</v>
      </c>
      <c r="G35" s="12">
        <v>26</v>
      </c>
      <c r="H35" s="8">
        <v>3.1</v>
      </c>
      <c r="I35" s="12">
        <v>0</v>
      </c>
    </row>
    <row r="36" spans="2:9" ht="15" customHeight="1" x14ac:dyDescent="0.15">
      <c r="B36" t="s">
        <v>86</v>
      </c>
      <c r="C36" s="12">
        <v>136</v>
      </c>
      <c r="D36" s="8">
        <v>4.16</v>
      </c>
      <c r="E36" s="12">
        <v>100</v>
      </c>
      <c r="F36" s="8">
        <v>4.1500000000000004</v>
      </c>
      <c r="G36" s="12">
        <v>36</v>
      </c>
      <c r="H36" s="8">
        <v>4.29</v>
      </c>
      <c r="I36" s="12">
        <v>0</v>
      </c>
    </row>
    <row r="37" spans="2:9" ht="15" customHeight="1" x14ac:dyDescent="0.15">
      <c r="B37" t="s">
        <v>100</v>
      </c>
      <c r="C37" s="12">
        <v>121</v>
      </c>
      <c r="D37" s="8">
        <v>3.7</v>
      </c>
      <c r="E37" s="12">
        <v>95</v>
      </c>
      <c r="F37" s="8">
        <v>3.94</v>
      </c>
      <c r="G37" s="12">
        <v>26</v>
      </c>
      <c r="H37" s="8">
        <v>3.1</v>
      </c>
      <c r="I37" s="12">
        <v>0</v>
      </c>
    </row>
    <row r="38" spans="2:9" ht="15" customHeight="1" x14ac:dyDescent="0.15">
      <c r="B38" t="s">
        <v>81</v>
      </c>
      <c r="C38" s="12">
        <v>107</v>
      </c>
      <c r="D38" s="8">
        <v>3.27</v>
      </c>
      <c r="E38" s="12">
        <v>72</v>
      </c>
      <c r="F38" s="8">
        <v>2.99</v>
      </c>
      <c r="G38" s="12">
        <v>35</v>
      </c>
      <c r="H38" s="8">
        <v>4.17</v>
      </c>
      <c r="I38" s="12">
        <v>0</v>
      </c>
    </row>
    <row r="39" spans="2:9" ht="15" customHeight="1" x14ac:dyDescent="0.15">
      <c r="B39" t="s">
        <v>92</v>
      </c>
      <c r="C39" s="12">
        <v>105</v>
      </c>
      <c r="D39" s="8">
        <v>3.21</v>
      </c>
      <c r="E39" s="12">
        <v>90</v>
      </c>
      <c r="F39" s="8">
        <v>3.73</v>
      </c>
      <c r="G39" s="12">
        <v>12</v>
      </c>
      <c r="H39" s="8">
        <v>1.43</v>
      </c>
      <c r="I39" s="12">
        <v>3</v>
      </c>
    </row>
    <row r="40" spans="2:9" ht="15" customHeight="1" x14ac:dyDescent="0.15">
      <c r="B40" t="s">
        <v>83</v>
      </c>
      <c r="C40" s="12">
        <v>101</v>
      </c>
      <c r="D40" s="8">
        <v>3.09</v>
      </c>
      <c r="E40" s="12">
        <v>73</v>
      </c>
      <c r="F40" s="8">
        <v>3.03</v>
      </c>
      <c r="G40" s="12">
        <v>28</v>
      </c>
      <c r="H40" s="8">
        <v>3.33</v>
      </c>
      <c r="I40" s="12">
        <v>0</v>
      </c>
    </row>
    <row r="41" spans="2:9" ht="15" customHeight="1" x14ac:dyDescent="0.15">
      <c r="B41" t="s">
        <v>76</v>
      </c>
      <c r="C41" s="12">
        <v>100</v>
      </c>
      <c r="D41" s="8">
        <v>3.06</v>
      </c>
      <c r="E41" s="12">
        <v>70</v>
      </c>
      <c r="F41" s="8">
        <v>2.9</v>
      </c>
      <c r="G41" s="12">
        <v>30</v>
      </c>
      <c r="H41" s="8">
        <v>3.57</v>
      </c>
      <c r="I41" s="12">
        <v>0</v>
      </c>
    </row>
    <row r="42" spans="2:9" ht="15" customHeight="1" x14ac:dyDescent="0.15">
      <c r="B42" t="s">
        <v>93</v>
      </c>
      <c r="C42" s="12">
        <v>72</v>
      </c>
      <c r="D42" s="8">
        <v>2.2000000000000002</v>
      </c>
      <c r="E42" s="12">
        <v>68</v>
      </c>
      <c r="F42" s="8">
        <v>2.82</v>
      </c>
      <c r="G42" s="12">
        <v>4</v>
      </c>
      <c r="H42" s="8">
        <v>0.48</v>
      </c>
      <c r="I42" s="12">
        <v>0</v>
      </c>
    </row>
    <row r="43" spans="2:9" ht="15" customHeight="1" x14ac:dyDescent="0.15">
      <c r="B43" t="s">
        <v>88</v>
      </c>
      <c r="C43" s="12">
        <v>63</v>
      </c>
      <c r="D43" s="8">
        <v>1.93</v>
      </c>
      <c r="E43" s="12">
        <v>39</v>
      </c>
      <c r="F43" s="8">
        <v>1.62</v>
      </c>
      <c r="G43" s="12">
        <v>24</v>
      </c>
      <c r="H43" s="8">
        <v>2.86</v>
      </c>
      <c r="I43" s="12">
        <v>0</v>
      </c>
    </row>
    <row r="44" spans="2:9" ht="15" customHeight="1" x14ac:dyDescent="0.15">
      <c r="B44" t="s">
        <v>87</v>
      </c>
      <c r="C44" s="12">
        <v>56</v>
      </c>
      <c r="D44" s="8">
        <v>1.71</v>
      </c>
      <c r="E44" s="12">
        <v>49</v>
      </c>
      <c r="F44" s="8">
        <v>2.0299999999999998</v>
      </c>
      <c r="G44" s="12">
        <v>7</v>
      </c>
      <c r="H44" s="8">
        <v>0.83</v>
      </c>
      <c r="I44" s="12">
        <v>0</v>
      </c>
    </row>
    <row r="45" spans="2:9" ht="15" customHeight="1" x14ac:dyDescent="0.15">
      <c r="B45" t="s">
        <v>110</v>
      </c>
      <c r="C45" s="12">
        <v>55</v>
      </c>
      <c r="D45" s="8">
        <v>1.68</v>
      </c>
      <c r="E45" s="12">
        <v>52</v>
      </c>
      <c r="F45" s="8">
        <v>2.16</v>
      </c>
      <c r="G45" s="12">
        <v>3</v>
      </c>
      <c r="H45" s="8">
        <v>0.36</v>
      </c>
      <c r="I45" s="12">
        <v>0</v>
      </c>
    </row>
    <row r="46" spans="2:9" ht="15" customHeight="1" x14ac:dyDescent="0.15">
      <c r="B46" t="s">
        <v>107</v>
      </c>
      <c r="C46" s="12">
        <v>36</v>
      </c>
      <c r="D46" s="8">
        <v>1.1000000000000001</v>
      </c>
      <c r="E46" s="12">
        <v>21</v>
      </c>
      <c r="F46" s="8">
        <v>0.87</v>
      </c>
      <c r="G46" s="12">
        <v>14</v>
      </c>
      <c r="H46" s="8">
        <v>1.67</v>
      </c>
      <c r="I46" s="12">
        <v>1</v>
      </c>
    </row>
    <row r="47" spans="2:9" ht="15" customHeight="1" x14ac:dyDescent="0.15">
      <c r="B47" t="s">
        <v>78</v>
      </c>
      <c r="C47" s="12">
        <v>28</v>
      </c>
      <c r="D47" s="8">
        <v>0.86</v>
      </c>
      <c r="E47" s="12">
        <v>9</v>
      </c>
      <c r="F47" s="8">
        <v>0.37</v>
      </c>
      <c r="G47" s="12">
        <v>19</v>
      </c>
      <c r="H47" s="8">
        <v>2.2599999999999998</v>
      </c>
      <c r="I47" s="12">
        <v>0</v>
      </c>
    </row>
    <row r="48" spans="2:9" ht="15" customHeight="1" x14ac:dyDescent="0.15">
      <c r="B48" t="s">
        <v>80</v>
      </c>
      <c r="C48" s="12">
        <v>28</v>
      </c>
      <c r="D48" s="8">
        <v>0.86</v>
      </c>
      <c r="E48" s="12">
        <v>16</v>
      </c>
      <c r="F48" s="8">
        <v>0.66</v>
      </c>
      <c r="G48" s="12">
        <v>12</v>
      </c>
      <c r="H48" s="8">
        <v>1.43</v>
      </c>
      <c r="I48" s="12">
        <v>0</v>
      </c>
    </row>
    <row r="49" spans="2:9" ht="15" customHeight="1" x14ac:dyDescent="0.15">
      <c r="B49" t="s">
        <v>106</v>
      </c>
      <c r="C49" s="12">
        <v>28</v>
      </c>
      <c r="D49" s="8">
        <v>0.86</v>
      </c>
      <c r="E49" s="12">
        <v>22</v>
      </c>
      <c r="F49" s="8">
        <v>0.91</v>
      </c>
      <c r="G49" s="12">
        <v>6</v>
      </c>
      <c r="H49" s="8">
        <v>0.71</v>
      </c>
      <c r="I49" s="12">
        <v>0</v>
      </c>
    </row>
    <row r="52" spans="2:9" ht="33" customHeight="1" x14ac:dyDescent="0.15">
      <c r="B52" t="s">
        <v>244</v>
      </c>
      <c r="C52" s="10" t="s">
        <v>67</v>
      </c>
      <c r="D52" s="10" t="s">
        <v>68</v>
      </c>
      <c r="E52" s="10" t="s">
        <v>69</v>
      </c>
      <c r="F52" s="10" t="s">
        <v>70</v>
      </c>
      <c r="G52" s="10" t="s">
        <v>71</v>
      </c>
      <c r="H52" s="10" t="s">
        <v>72</v>
      </c>
      <c r="I52" s="10" t="s">
        <v>73</v>
      </c>
    </row>
    <row r="53" spans="2:9" ht="15" customHeight="1" x14ac:dyDescent="0.15">
      <c r="B53" t="s">
        <v>170</v>
      </c>
      <c r="C53" s="12">
        <v>141</v>
      </c>
      <c r="D53" s="8">
        <v>4.3099999999999996</v>
      </c>
      <c r="E53" s="12">
        <v>131</v>
      </c>
      <c r="F53" s="8">
        <v>5.43</v>
      </c>
      <c r="G53" s="12">
        <v>10</v>
      </c>
      <c r="H53" s="8">
        <v>1.19</v>
      </c>
      <c r="I53" s="12">
        <v>0</v>
      </c>
    </row>
    <row r="54" spans="2:9" ht="15" customHeight="1" x14ac:dyDescent="0.15">
      <c r="B54" t="s">
        <v>138</v>
      </c>
      <c r="C54" s="12">
        <v>135</v>
      </c>
      <c r="D54" s="8">
        <v>4.13</v>
      </c>
      <c r="E54" s="12">
        <v>124</v>
      </c>
      <c r="F54" s="8">
        <v>5.14</v>
      </c>
      <c r="G54" s="12">
        <v>10</v>
      </c>
      <c r="H54" s="8">
        <v>1.19</v>
      </c>
      <c r="I54" s="12">
        <v>1</v>
      </c>
    </row>
    <row r="55" spans="2:9" ht="15" customHeight="1" x14ac:dyDescent="0.15">
      <c r="B55" t="s">
        <v>141</v>
      </c>
      <c r="C55" s="12">
        <v>135</v>
      </c>
      <c r="D55" s="8">
        <v>4.13</v>
      </c>
      <c r="E55" s="12">
        <v>132</v>
      </c>
      <c r="F55" s="8">
        <v>5.47</v>
      </c>
      <c r="G55" s="12">
        <v>3</v>
      </c>
      <c r="H55" s="8">
        <v>0.36</v>
      </c>
      <c r="I55" s="12">
        <v>0</v>
      </c>
    </row>
    <row r="56" spans="2:9" ht="15" customHeight="1" x14ac:dyDescent="0.15">
      <c r="B56" t="s">
        <v>169</v>
      </c>
      <c r="C56" s="12">
        <v>115</v>
      </c>
      <c r="D56" s="8">
        <v>3.52</v>
      </c>
      <c r="E56" s="12">
        <v>89</v>
      </c>
      <c r="F56" s="8">
        <v>3.69</v>
      </c>
      <c r="G56" s="12">
        <v>26</v>
      </c>
      <c r="H56" s="8">
        <v>3.1</v>
      </c>
      <c r="I56" s="12">
        <v>0</v>
      </c>
    </row>
    <row r="57" spans="2:9" ht="15" customHeight="1" x14ac:dyDescent="0.15">
      <c r="B57" t="s">
        <v>137</v>
      </c>
      <c r="C57" s="12">
        <v>100</v>
      </c>
      <c r="D57" s="8">
        <v>3.06</v>
      </c>
      <c r="E57" s="12">
        <v>98</v>
      </c>
      <c r="F57" s="8">
        <v>4.0599999999999996</v>
      </c>
      <c r="G57" s="12">
        <v>2</v>
      </c>
      <c r="H57" s="8">
        <v>0.24</v>
      </c>
      <c r="I57" s="12">
        <v>0</v>
      </c>
    </row>
    <row r="58" spans="2:9" ht="15" customHeight="1" x14ac:dyDescent="0.15">
      <c r="B58" t="s">
        <v>134</v>
      </c>
      <c r="C58" s="12">
        <v>96</v>
      </c>
      <c r="D58" s="8">
        <v>2.94</v>
      </c>
      <c r="E58" s="12">
        <v>79</v>
      </c>
      <c r="F58" s="8">
        <v>3.28</v>
      </c>
      <c r="G58" s="12">
        <v>17</v>
      </c>
      <c r="H58" s="8">
        <v>2.02</v>
      </c>
      <c r="I58" s="12">
        <v>0</v>
      </c>
    </row>
    <row r="59" spans="2:9" ht="15" customHeight="1" x14ac:dyDescent="0.15">
      <c r="B59" t="s">
        <v>132</v>
      </c>
      <c r="C59" s="12">
        <v>90</v>
      </c>
      <c r="D59" s="8">
        <v>2.75</v>
      </c>
      <c r="E59" s="12">
        <v>72</v>
      </c>
      <c r="F59" s="8">
        <v>2.99</v>
      </c>
      <c r="G59" s="12">
        <v>18</v>
      </c>
      <c r="H59" s="8">
        <v>2.14</v>
      </c>
      <c r="I59" s="12">
        <v>0</v>
      </c>
    </row>
    <row r="60" spans="2:9" ht="15" customHeight="1" x14ac:dyDescent="0.15">
      <c r="B60" t="s">
        <v>140</v>
      </c>
      <c r="C60" s="12">
        <v>78</v>
      </c>
      <c r="D60" s="8">
        <v>2.39</v>
      </c>
      <c r="E60" s="12">
        <v>78</v>
      </c>
      <c r="F60" s="8">
        <v>3.23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167</v>
      </c>
      <c r="C61" s="12">
        <v>76</v>
      </c>
      <c r="D61" s="8">
        <v>2.3199999999999998</v>
      </c>
      <c r="E61" s="12">
        <v>56</v>
      </c>
      <c r="F61" s="8">
        <v>2.3199999999999998</v>
      </c>
      <c r="G61" s="12">
        <v>20</v>
      </c>
      <c r="H61" s="8">
        <v>2.38</v>
      </c>
      <c r="I61" s="12">
        <v>0</v>
      </c>
    </row>
    <row r="62" spans="2:9" ht="15" customHeight="1" x14ac:dyDescent="0.15">
      <c r="B62" t="s">
        <v>143</v>
      </c>
      <c r="C62" s="12">
        <v>71</v>
      </c>
      <c r="D62" s="8">
        <v>2.17</v>
      </c>
      <c r="E62" s="12">
        <v>66</v>
      </c>
      <c r="F62" s="8">
        <v>2.74</v>
      </c>
      <c r="G62" s="12">
        <v>5</v>
      </c>
      <c r="H62" s="8">
        <v>0.6</v>
      </c>
      <c r="I62" s="12">
        <v>0</v>
      </c>
    </row>
    <row r="63" spans="2:9" ht="15" customHeight="1" x14ac:dyDescent="0.15">
      <c r="B63" t="s">
        <v>125</v>
      </c>
      <c r="C63" s="12">
        <v>64</v>
      </c>
      <c r="D63" s="8">
        <v>1.96</v>
      </c>
      <c r="E63" s="12">
        <v>24</v>
      </c>
      <c r="F63" s="8">
        <v>1</v>
      </c>
      <c r="G63" s="12">
        <v>40</v>
      </c>
      <c r="H63" s="8">
        <v>4.76</v>
      </c>
      <c r="I63" s="12">
        <v>0</v>
      </c>
    </row>
    <row r="64" spans="2:9" ht="15" customHeight="1" x14ac:dyDescent="0.15">
      <c r="B64" t="s">
        <v>146</v>
      </c>
      <c r="C64" s="12">
        <v>64</v>
      </c>
      <c r="D64" s="8">
        <v>1.96</v>
      </c>
      <c r="E64" s="12">
        <v>43</v>
      </c>
      <c r="F64" s="8">
        <v>1.78</v>
      </c>
      <c r="G64" s="12">
        <v>21</v>
      </c>
      <c r="H64" s="8">
        <v>2.5</v>
      </c>
      <c r="I64" s="12">
        <v>0</v>
      </c>
    </row>
    <row r="65" spans="2:9" ht="15" customHeight="1" x14ac:dyDescent="0.15">
      <c r="B65" t="s">
        <v>135</v>
      </c>
      <c r="C65" s="12">
        <v>63</v>
      </c>
      <c r="D65" s="8">
        <v>1.93</v>
      </c>
      <c r="E65" s="12">
        <v>56</v>
      </c>
      <c r="F65" s="8">
        <v>2.3199999999999998</v>
      </c>
      <c r="G65" s="12">
        <v>7</v>
      </c>
      <c r="H65" s="8">
        <v>0.83</v>
      </c>
      <c r="I65" s="12">
        <v>0</v>
      </c>
    </row>
    <row r="66" spans="2:9" ht="15" customHeight="1" x14ac:dyDescent="0.15">
      <c r="B66" t="s">
        <v>136</v>
      </c>
      <c r="C66" s="12">
        <v>59</v>
      </c>
      <c r="D66" s="8">
        <v>1.8</v>
      </c>
      <c r="E66" s="12">
        <v>59</v>
      </c>
      <c r="F66" s="8">
        <v>2.4500000000000002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131</v>
      </c>
      <c r="C67" s="12">
        <v>58</v>
      </c>
      <c r="D67" s="8">
        <v>1.77</v>
      </c>
      <c r="E67" s="12">
        <v>35</v>
      </c>
      <c r="F67" s="8">
        <v>1.45</v>
      </c>
      <c r="G67" s="12">
        <v>23</v>
      </c>
      <c r="H67" s="8">
        <v>2.74</v>
      </c>
      <c r="I67" s="12">
        <v>0</v>
      </c>
    </row>
    <row r="68" spans="2:9" ht="15" customHeight="1" x14ac:dyDescent="0.15">
      <c r="B68" t="s">
        <v>144</v>
      </c>
      <c r="C68" s="12">
        <v>57</v>
      </c>
      <c r="D68" s="8">
        <v>1.74</v>
      </c>
      <c r="E68" s="12">
        <v>55</v>
      </c>
      <c r="F68" s="8">
        <v>2.2799999999999998</v>
      </c>
      <c r="G68" s="12">
        <v>2</v>
      </c>
      <c r="H68" s="8">
        <v>0.24</v>
      </c>
      <c r="I68" s="12">
        <v>0</v>
      </c>
    </row>
    <row r="69" spans="2:9" ht="15" customHeight="1" x14ac:dyDescent="0.15">
      <c r="B69" t="s">
        <v>127</v>
      </c>
      <c r="C69" s="12">
        <v>56</v>
      </c>
      <c r="D69" s="8">
        <v>1.71</v>
      </c>
      <c r="E69" s="12">
        <v>43</v>
      </c>
      <c r="F69" s="8">
        <v>1.78</v>
      </c>
      <c r="G69" s="12">
        <v>13</v>
      </c>
      <c r="H69" s="8">
        <v>1.55</v>
      </c>
      <c r="I69" s="12">
        <v>0</v>
      </c>
    </row>
    <row r="70" spans="2:9" ht="15" customHeight="1" x14ac:dyDescent="0.15">
      <c r="B70" t="s">
        <v>171</v>
      </c>
      <c r="C70" s="12">
        <v>51</v>
      </c>
      <c r="D70" s="8">
        <v>1.56</v>
      </c>
      <c r="E70" s="12">
        <v>47</v>
      </c>
      <c r="F70" s="8">
        <v>1.95</v>
      </c>
      <c r="G70" s="12">
        <v>4</v>
      </c>
      <c r="H70" s="8">
        <v>0.48</v>
      </c>
      <c r="I70" s="12">
        <v>0</v>
      </c>
    </row>
    <row r="71" spans="2:9" ht="15" customHeight="1" x14ac:dyDescent="0.15">
      <c r="B71" t="s">
        <v>155</v>
      </c>
      <c r="C71" s="12">
        <v>49</v>
      </c>
      <c r="D71" s="8">
        <v>1.5</v>
      </c>
      <c r="E71" s="12">
        <v>45</v>
      </c>
      <c r="F71" s="8">
        <v>1.87</v>
      </c>
      <c r="G71" s="12">
        <v>4</v>
      </c>
      <c r="H71" s="8">
        <v>0.48</v>
      </c>
      <c r="I71" s="12">
        <v>0</v>
      </c>
    </row>
    <row r="72" spans="2:9" ht="15" customHeight="1" x14ac:dyDescent="0.15">
      <c r="B72" t="s">
        <v>130</v>
      </c>
      <c r="C72" s="12">
        <v>49</v>
      </c>
      <c r="D72" s="8">
        <v>1.5</v>
      </c>
      <c r="E72" s="12">
        <v>30</v>
      </c>
      <c r="F72" s="8">
        <v>1.24</v>
      </c>
      <c r="G72" s="12">
        <v>19</v>
      </c>
      <c r="H72" s="8">
        <v>2.2599999999999998</v>
      </c>
      <c r="I72" s="12">
        <v>0</v>
      </c>
    </row>
    <row r="74" spans="2:9" ht="15" customHeight="1" x14ac:dyDescent="0.15">
      <c r="B74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299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620</v>
      </c>
      <c r="D6" s="8">
        <v>12.98</v>
      </c>
      <c r="E6" s="12">
        <v>215</v>
      </c>
      <c r="F6" s="8">
        <v>7.36</v>
      </c>
      <c r="G6" s="12">
        <v>405</v>
      </c>
      <c r="H6" s="8">
        <v>21.94</v>
      </c>
      <c r="I6" s="12">
        <v>0</v>
      </c>
    </row>
    <row r="7" spans="2:9" ht="15" customHeight="1" x14ac:dyDescent="0.15">
      <c r="B7" t="s">
        <v>53</v>
      </c>
      <c r="C7" s="12">
        <v>384</v>
      </c>
      <c r="D7" s="8">
        <v>8.0399999999999991</v>
      </c>
      <c r="E7" s="12">
        <v>175</v>
      </c>
      <c r="F7" s="8">
        <v>5.99</v>
      </c>
      <c r="G7" s="12">
        <v>209</v>
      </c>
      <c r="H7" s="8">
        <v>11.32</v>
      </c>
      <c r="I7" s="12">
        <v>0</v>
      </c>
    </row>
    <row r="8" spans="2:9" ht="15" customHeight="1" x14ac:dyDescent="0.15">
      <c r="B8" t="s">
        <v>54</v>
      </c>
      <c r="C8" s="12">
        <v>1</v>
      </c>
      <c r="D8" s="8">
        <v>0.02</v>
      </c>
      <c r="E8" s="12">
        <v>0</v>
      </c>
      <c r="F8" s="8">
        <v>0</v>
      </c>
      <c r="G8" s="12">
        <v>1</v>
      </c>
      <c r="H8" s="8">
        <v>0.05</v>
      </c>
      <c r="I8" s="12">
        <v>0</v>
      </c>
    </row>
    <row r="9" spans="2:9" ht="15" customHeight="1" x14ac:dyDescent="0.15">
      <c r="B9" t="s">
        <v>55</v>
      </c>
      <c r="C9" s="12">
        <v>29</v>
      </c>
      <c r="D9" s="8">
        <v>0.61</v>
      </c>
      <c r="E9" s="12">
        <v>3</v>
      </c>
      <c r="F9" s="8">
        <v>0.1</v>
      </c>
      <c r="G9" s="12">
        <v>26</v>
      </c>
      <c r="H9" s="8">
        <v>1.41</v>
      </c>
      <c r="I9" s="12">
        <v>0</v>
      </c>
    </row>
    <row r="10" spans="2:9" ht="15" customHeight="1" x14ac:dyDescent="0.15">
      <c r="B10" t="s">
        <v>56</v>
      </c>
      <c r="C10" s="12">
        <v>44</v>
      </c>
      <c r="D10" s="8">
        <v>0.92</v>
      </c>
      <c r="E10" s="12">
        <v>10</v>
      </c>
      <c r="F10" s="8">
        <v>0.34</v>
      </c>
      <c r="G10" s="12">
        <v>34</v>
      </c>
      <c r="H10" s="8">
        <v>1.84</v>
      </c>
      <c r="I10" s="12">
        <v>0</v>
      </c>
    </row>
    <row r="11" spans="2:9" ht="15" customHeight="1" x14ac:dyDescent="0.15">
      <c r="B11" t="s">
        <v>57</v>
      </c>
      <c r="C11" s="12">
        <v>1075</v>
      </c>
      <c r="D11" s="8">
        <v>22.5</v>
      </c>
      <c r="E11" s="12">
        <v>548</v>
      </c>
      <c r="F11" s="8">
        <v>18.77</v>
      </c>
      <c r="G11" s="12">
        <v>525</v>
      </c>
      <c r="H11" s="8">
        <v>28.44</v>
      </c>
      <c r="I11" s="12">
        <v>2</v>
      </c>
    </row>
    <row r="12" spans="2:9" ht="15" customHeight="1" x14ac:dyDescent="0.15">
      <c r="B12" t="s">
        <v>58</v>
      </c>
      <c r="C12" s="12">
        <v>37</v>
      </c>
      <c r="D12" s="8">
        <v>0.77</v>
      </c>
      <c r="E12" s="12">
        <v>14</v>
      </c>
      <c r="F12" s="8">
        <v>0.48</v>
      </c>
      <c r="G12" s="12">
        <v>23</v>
      </c>
      <c r="H12" s="8">
        <v>1.25</v>
      </c>
      <c r="I12" s="12">
        <v>0</v>
      </c>
    </row>
    <row r="13" spans="2:9" ht="15" customHeight="1" x14ac:dyDescent="0.15">
      <c r="B13" t="s">
        <v>59</v>
      </c>
      <c r="C13" s="12">
        <v>500</v>
      </c>
      <c r="D13" s="8">
        <v>10.46</v>
      </c>
      <c r="E13" s="12">
        <v>283</v>
      </c>
      <c r="F13" s="8">
        <v>9.69</v>
      </c>
      <c r="G13" s="12">
        <v>217</v>
      </c>
      <c r="H13" s="8">
        <v>11.76</v>
      </c>
      <c r="I13" s="12">
        <v>0</v>
      </c>
    </row>
    <row r="14" spans="2:9" ht="15" customHeight="1" x14ac:dyDescent="0.15">
      <c r="B14" t="s">
        <v>60</v>
      </c>
      <c r="C14" s="12">
        <v>200</v>
      </c>
      <c r="D14" s="8">
        <v>4.1900000000000004</v>
      </c>
      <c r="E14" s="12">
        <v>131</v>
      </c>
      <c r="F14" s="8">
        <v>4.49</v>
      </c>
      <c r="G14" s="12">
        <v>69</v>
      </c>
      <c r="H14" s="8">
        <v>3.74</v>
      </c>
      <c r="I14" s="12">
        <v>0</v>
      </c>
    </row>
    <row r="15" spans="2:9" ht="15" customHeight="1" x14ac:dyDescent="0.15">
      <c r="B15" t="s">
        <v>61</v>
      </c>
      <c r="C15" s="12">
        <v>662</v>
      </c>
      <c r="D15" s="8">
        <v>13.86</v>
      </c>
      <c r="E15" s="12">
        <v>604</v>
      </c>
      <c r="F15" s="8">
        <v>20.68</v>
      </c>
      <c r="G15" s="12">
        <v>57</v>
      </c>
      <c r="H15" s="8">
        <v>3.09</v>
      </c>
      <c r="I15" s="12">
        <v>1</v>
      </c>
    </row>
    <row r="16" spans="2:9" ht="15" customHeight="1" x14ac:dyDescent="0.15">
      <c r="B16" t="s">
        <v>62</v>
      </c>
      <c r="C16" s="12">
        <v>667</v>
      </c>
      <c r="D16" s="8">
        <v>13.96</v>
      </c>
      <c r="E16" s="12">
        <v>541</v>
      </c>
      <c r="F16" s="8">
        <v>18.53</v>
      </c>
      <c r="G16" s="12">
        <v>125</v>
      </c>
      <c r="H16" s="8">
        <v>6.77</v>
      </c>
      <c r="I16" s="12">
        <v>1</v>
      </c>
    </row>
    <row r="17" spans="2:9" ht="15" customHeight="1" x14ac:dyDescent="0.15">
      <c r="B17" t="s">
        <v>63</v>
      </c>
      <c r="C17" s="12">
        <v>248</v>
      </c>
      <c r="D17" s="8">
        <v>5.19</v>
      </c>
      <c r="E17" s="12">
        <v>206</v>
      </c>
      <c r="F17" s="8">
        <v>7.05</v>
      </c>
      <c r="G17" s="12">
        <v>42</v>
      </c>
      <c r="H17" s="8">
        <v>2.2799999999999998</v>
      </c>
      <c r="I17" s="12">
        <v>0</v>
      </c>
    </row>
    <row r="18" spans="2:9" ht="15" customHeight="1" x14ac:dyDescent="0.15">
      <c r="B18" t="s">
        <v>64</v>
      </c>
      <c r="C18" s="12">
        <v>177</v>
      </c>
      <c r="D18" s="8">
        <v>3.7</v>
      </c>
      <c r="E18" s="12">
        <v>135</v>
      </c>
      <c r="F18" s="8">
        <v>4.62</v>
      </c>
      <c r="G18" s="12">
        <v>42</v>
      </c>
      <c r="H18" s="8">
        <v>2.2799999999999998</v>
      </c>
      <c r="I18" s="12">
        <v>0</v>
      </c>
    </row>
    <row r="19" spans="2:9" ht="15" customHeight="1" x14ac:dyDescent="0.15">
      <c r="B19" t="s">
        <v>65</v>
      </c>
      <c r="C19" s="12">
        <v>134</v>
      </c>
      <c r="D19" s="8">
        <v>2.8</v>
      </c>
      <c r="E19" s="12">
        <v>55</v>
      </c>
      <c r="F19" s="8">
        <v>1.88</v>
      </c>
      <c r="G19" s="12">
        <v>71</v>
      </c>
      <c r="H19" s="8">
        <v>3.85</v>
      </c>
      <c r="I19" s="12">
        <v>8</v>
      </c>
    </row>
    <row r="20" spans="2:9" ht="15" customHeight="1" x14ac:dyDescent="0.15">
      <c r="B20" s="9" t="s">
        <v>215</v>
      </c>
      <c r="C20" s="12">
        <f>SUM(LTBL_28210[総数／事業所数])</f>
        <v>4778</v>
      </c>
      <c r="E20" s="12">
        <f>SUBTOTAL(109,LTBL_28210[個人／事業所数])</f>
        <v>2920</v>
      </c>
      <c r="G20" s="12">
        <f>SUBTOTAL(109,LTBL_28210[法人／事業所数])</f>
        <v>1846</v>
      </c>
      <c r="I20" s="12">
        <f>SUBTOTAL(109,LTBL_28210[法人以外の団体／事業所数])</f>
        <v>12</v>
      </c>
    </row>
    <row r="21" spans="2:9" ht="15" customHeight="1" x14ac:dyDescent="0.15">
      <c r="E21" s="11">
        <f>LTBL_28210[[#Totals],[個人／事業所数]]/LTBL_28210[[#Totals],[総数／事業所数]]</f>
        <v>0.61113436584344916</v>
      </c>
      <c r="G21" s="11">
        <f>LTBL_28210[[#Totals],[法人／事業所数]]/LTBL_28210[[#Totals],[総数／事業所数]]</f>
        <v>0.38635412306404354</v>
      </c>
      <c r="I21" s="11">
        <f>LTBL_28210[[#Totals],[法人以外の団体／事業所数]]/LTBL_28210[[#Totals],[総数／事業所数]]</f>
        <v>2.5115110925073253E-3</v>
      </c>
    </row>
    <row r="23" spans="2:9" ht="33" customHeight="1" x14ac:dyDescent="0.15">
      <c r="B23" t="s">
        <v>214</v>
      </c>
      <c r="C23" s="10" t="s">
        <v>67</v>
      </c>
      <c r="D23" s="10" t="s">
        <v>300</v>
      </c>
      <c r="E23" s="10" t="s">
        <v>69</v>
      </c>
      <c r="F23" s="10" t="s">
        <v>301</v>
      </c>
      <c r="G23" s="10" t="s">
        <v>71</v>
      </c>
      <c r="H23" s="10" t="s">
        <v>223</v>
      </c>
      <c r="I23" s="10" t="s">
        <v>73</v>
      </c>
    </row>
    <row r="24" spans="2:9" ht="15" customHeight="1" x14ac:dyDescent="0.15">
      <c r="B24" t="s">
        <v>217</v>
      </c>
      <c r="C24">
        <v>16</v>
      </c>
      <c r="D24" t="s">
        <v>216</v>
      </c>
      <c r="E24">
        <v>0</v>
      </c>
      <c r="F24" t="s">
        <v>218</v>
      </c>
      <c r="G24">
        <v>16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1</v>
      </c>
      <c r="D25" t="s">
        <v>216</v>
      </c>
      <c r="E25">
        <v>0</v>
      </c>
      <c r="F25" t="s">
        <v>218</v>
      </c>
      <c r="G25">
        <v>1</v>
      </c>
      <c r="H25" t="s">
        <v>219</v>
      </c>
      <c r="I25">
        <v>0</v>
      </c>
    </row>
    <row r="28" spans="2:9" ht="33" customHeight="1" x14ac:dyDescent="0.15">
      <c r="B28" t="s">
        <v>293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89</v>
      </c>
      <c r="C29" s="12">
        <v>631</v>
      </c>
      <c r="D29" s="8">
        <v>13.21</v>
      </c>
      <c r="E29" s="12">
        <v>596</v>
      </c>
      <c r="F29" s="8">
        <v>20.41</v>
      </c>
      <c r="G29" s="12">
        <v>34</v>
      </c>
      <c r="H29" s="8">
        <v>1.84</v>
      </c>
      <c r="I29" s="12">
        <v>1</v>
      </c>
    </row>
    <row r="30" spans="2:9" ht="15" customHeight="1" x14ac:dyDescent="0.15">
      <c r="B30" t="s">
        <v>90</v>
      </c>
      <c r="C30" s="12">
        <v>563</v>
      </c>
      <c r="D30" s="8">
        <v>11.78</v>
      </c>
      <c r="E30" s="12">
        <v>479</v>
      </c>
      <c r="F30" s="8">
        <v>16.399999999999999</v>
      </c>
      <c r="G30" s="12">
        <v>84</v>
      </c>
      <c r="H30" s="8">
        <v>4.55</v>
      </c>
      <c r="I30" s="12">
        <v>0</v>
      </c>
    </row>
    <row r="31" spans="2:9" ht="15" customHeight="1" x14ac:dyDescent="0.15">
      <c r="B31" t="s">
        <v>86</v>
      </c>
      <c r="C31" s="12">
        <v>381</v>
      </c>
      <c r="D31" s="8">
        <v>7.97</v>
      </c>
      <c r="E31" s="12">
        <v>259</v>
      </c>
      <c r="F31" s="8">
        <v>8.8699999999999992</v>
      </c>
      <c r="G31" s="12">
        <v>122</v>
      </c>
      <c r="H31" s="8">
        <v>6.61</v>
      </c>
      <c r="I31" s="12">
        <v>0</v>
      </c>
    </row>
    <row r="32" spans="2:9" ht="15" customHeight="1" x14ac:dyDescent="0.15">
      <c r="B32" t="s">
        <v>84</v>
      </c>
      <c r="C32" s="12">
        <v>311</v>
      </c>
      <c r="D32" s="8">
        <v>6.51</v>
      </c>
      <c r="E32" s="12">
        <v>163</v>
      </c>
      <c r="F32" s="8">
        <v>5.58</v>
      </c>
      <c r="G32" s="12">
        <v>148</v>
      </c>
      <c r="H32" s="8">
        <v>8.02</v>
      </c>
      <c r="I32" s="12">
        <v>0</v>
      </c>
    </row>
    <row r="33" spans="2:9" ht="15" customHeight="1" x14ac:dyDescent="0.15">
      <c r="B33" t="s">
        <v>74</v>
      </c>
      <c r="C33" s="12">
        <v>282</v>
      </c>
      <c r="D33" s="8">
        <v>5.9</v>
      </c>
      <c r="E33" s="12">
        <v>82</v>
      </c>
      <c r="F33" s="8">
        <v>2.81</v>
      </c>
      <c r="G33" s="12">
        <v>200</v>
      </c>
      <c r="H33" s="8">
        <v>10.83</v>
      </c>
      <c r="I33" s="12">
        <v>0</v>
      </c>
    </row>
    <row r="34" spans="2:9" ht="15" customHeight="1" x14ac:dyDescent="0.15">
      <c r="B34" t="s">
        <v>92</v>
      </c>
      <c r="C34" s="12">
        <v>248</v>
      </c>
      <c r="D34" s="8">
        <v>5.19</v>
      </c>
      <c r="E34" s="12">
        <v>206</v>
      </c>
      <c r="F34" s="8">
        <v>7.05</v>
      </c>
      <c r="G34" s="12">
        <v>42</v>
      </c>
      <c r="H34" s="8">
        <v>2.2799999999999998</v>
      </c>
      <c r="I34" s="12">
        <v>0</v>
      </c>
    </row>
    <row r="35" spans="2:9" ht="15" customHeight="1" x14ac:dyDescent="0.15">
      <c r="B35" t="s">
        <v>82</v>
      </c>
      <c r="C35" s="12">
        <v>188</v>
      </c>
      <c r="D35" s="8">
        <v>3.93</v>
      </c>
      <c r="E35" s="12">
        <v>137</v>
      </c>
      <c r="F35" s="8">
        <v>4.6900000000000004</v>
      </c>
      <c r="G35" s="12">
        <v>49</v>
      </c>
      <c r="H35" s="8">
        <v>2.65</v>
      </c>
      <c r="I35" s="12">
        <v>2</v>
      </c>
    </row>
    <row r="36" spans="2:9" ht="15" customHeight="1" x14ac:dyDescent="0.15">
      <c r="B36" t="s">
        <v>83</v>
      </c>
      <c r="C36" s="12">
        <v>181</v>
      </c>
      <c r="D36" s="8">
        <v>3.79</v>
      </c>
      <c r="E36" s="12">
        <v>117</v>
      </c>
      <c r="F36" s="8">
        <v>4.01</v>
      </c>
      <c r="G36" s="12">
        <v>64</v>
      </c>
      <c r="H36" s="8">
        <v>3.47</v>
      </c>
      <c r="I36" s="12">
        <v>0</v>
      </c>
    </row>
    <row r="37" spans="2:9" ht="15" customHeight="1" x14ac:dyDescent="0.15">
      <c r="B37" t="s">
        <v>76</v>
      </c>
      <c r="C37" s="12">
        <v>172</v>
      </c>
      <c r="D37" s="8">
        <v>3.6</v>
      </c>
      <c r="E37" s="12">
        <v>54</v>
      </c>
      <c r="F37" s="8">
        <v>1.85</v>
      </c>
      <c r="G37" s="12">
        <v>118</v>
      </c>
      <c r="H37" s="8">
        <v>6.39</v>
      </c>
      <c r="I37" s="12">
        <v>0</v>
      </c>
    </row>
    <row r="38" spans="2:9" ht="15" customHeight="1" x14ac:dyDescent="0.15">
      <c r="B38" t="s">
        <v>75</v>
      </c>
      <c r="C38" s="12">
        <v>166</v>
      </c>
      <c r="D38" s="8">
        <v>3.47</v>
      </c>
      <c r="E38" s="12">
        <v>79</v>
      </c>
      <c r="F38" s="8">
        <v>2.71</v>
      </c>
      <c r="G38" s="12">
        <v>87</v>
      </c>
      <c r="H38" s="8">
        <v>4.71</v>
      </c>
      <c r="I38" s="12">
        <v>0</v>
      </c>
    </row>
    <row r="39" spans="2:9" ht="15" customHeight="1" x14ac:dyDescent="0.15">
      <c r="B39" t="s">
        <v>81</v>
      </c>
      <c r="C39" s="12">
        <v>150</v>
      </c>
      <c r="D39" s="8">
        <v>3.14</v>
      </c>
      <c r="E39" s="12">
        <v>68</v>
      </c>
      <c r="F39" s="8">
        <v>2.33</v>
      </c>
      <c r="G39" s="12">
        <v>82</v>
      </c>
      <c r="H39" s="8">
        <v>4.4400000000000004</v>
      </c>
      <c r="I39" s="12">
        <v>0</v>
      </c>
    </row>
    <row r="40" spans="2:9" ht="15" customHeight="1" x14ac:dyDescent="0.15">
      <c r="B40" t="s">
        <v>93</v>
      </c>
      <c r="C40" s="12">
        <v>141</v>
      </c>
      <c r="D40" s="8">
        <v>2.95</v>
      </c>
      <c r="E40" s="12">
        <v>131</v>
      </c>
      <c r="F40" s="8">
        <v>4.49</v>
      </c>
      <c r="G40" s="12">
        <v>10</v>
      </c>
      <c r="H40" s="8">
        <v>0.54</v>
      </c>
      <c r="I40" s="12">
        <v>0</v>
      </c>
    </row>
    <row r="41" spans="2:9" ht="15" customHeight="1" x14ac:dyDescent="0.15">
      <c r="B41" t="s">
        <v>87</v>
      </c>
      <c r="C41" s="12">
        <v>113</v>
      </c>
      <c r="D41" s="8">
        <v>2.37</v>
      </c>
      <c r="E41" s="12">
        <v>91</v>
      </c>
      <c r="F41" s="8">
        <v>3.12</v>
      </c>
      <c r="G41" s="12">
        <v>22</v>
      </c>
      <c r="H41" s="8">
        <v>1.19</v>
      </c>
      <c r="I41" s="12">
        <v>0</v>
      </c>
    </row>
    <row r="42" spans="2:9" ht="15" customHeight="1" x14ac:dyDescent="0.15">
      <c r="B42" t="s">
        <v>85</v>
      </c>
      <c r="C42" s="12">
        <v>97</v>
      </c>
      <c r="D42" s="8">
        <v>2.0299999999999998</v>
      </c>
      <c r="E42" s="12">
        <v>22</v>
      </c>
      <c r="F42" s="8">
        <v>0.75</v>
      </c>
      <c r="G42" s="12">
        <v>75</v>
      </c>
      <c r="H42" s="8">
        <v>4.0599999999999996</v>
      </c>
      <c r="I42" s="12">
        <v>0</v>
      </c>
    </row>
    <row r="43" spans="2:9" ht="15" customHeight="1" x14ac:dyDescent="0.15">
      <c r="B43" t="s">
        <v>88</v>
      </c>
      <c r="C43" s="12">
        <v>85</v>
      </c>
      <c r="D43" s="8">
        <v>1.78</v>
      </c>
      <c r="E43" s="12">
        <v>39</v>
      </c>
      <c r="F43" s="8">
        <v>1.34</v>
      </c>
      <c r="G43" s="12">
        <v>46</v>
      </c>
      <c r="H43" s="8">
        <v>2.4900000000000002</v>
      </c>
      <c r="I43" s="12">
        <v>0</v>
      </c>
    </row>
    <row r="44" spans="2:9" ht="15" customHeight="1" x14ac:dyDescent="0.15">
      <c r="B44" t="s">
        <v>91</v>
      </c>
      <c r="C44" s="12">
        <v>74</v>
      </c>
      <c r="D44" s="8">
        <v>1.55</v>
      </c>
      <c r="E44" s="12">
        <v>45</v>
      </c>
      <c r="F44" s="8">
        <v>1.54</v>
      </c>
      <c r="G44" s="12">
        <v>28</v>
      </c>
      <c r="H44" s="8">
        <v>1.52</v>
      </c>
      <c r="I44" s="12">
        <v>1</v>
      </c>
    </row>
    <row r="45" spans="2:9" ht="15" customHeight="1" x14ac:dyDescent="0.15">
      <c r="B45" t="s">
        <v>78</v>
      </c>
      <c r="C45" s="12">
        <v>71</v>
      </c>
      <c r="D45" s="8">
        <v>1.49</v>
      </c>
      <c r="E45" s="12">
        <v>15</v>
      </c>
      <c r="F45" s="8">
        <v>0.51</v>
      </c>
      <c r="G45" s="12">
        <v>56</v>
      </c>
      <c r="H45" s="8">
        <v>3.03</v>
      </c>
      <c r="I45" s="12">
        <v>0</v>
      </c>
    </row>
    <row r="46" spans="2:9" ht="15" customHeight="1" x14ac:dyDescent="0.15">
      <c r="B46" t="s">
        <v>110</v>
      </c>
      <c r="C46" s="12">
        <v>54</v>
      </c>
      <c r="D46" s="8">
        <v>1.1299999999999999</v>
      </c>
      <c r="E46" s="12">
        <v>37</v>
      </c>
      <c r="F46" s="8">
        <v>1.27</v>
      </c>
      <c r="G46" s="12">
        <v>17</v>
      </c>
      <c r="H46" s="8">
        <v>0.92</v>
      </c>
      <c r="I46" s="12">
        <v>0</v>
      </c>
    </row>
    <row r="47" spans="2:9" ht="15" customHeight="1" x14ac:dyDescent="0.15">
      <c r="B47" t="s">
        <v>79</v>
      </c>
      <c r="C47" s="12">
        <v>53</v>
      </c>
      <c r="D47" s="8">
        <v>1.1100000000000001</v>
      </c>
      <c r="E47" s="12">
        <v>14</v>
      </c>
      <c r="F47" s="8">
        <v>0.48</v>
      </c>
      <c r="G47" s="12">
        <v>39</v>
      </c>
      <c r="H47" s="8">
        <v>2.11</v>
      </c>
      <c r="I47" s="12">
        <v>0</v>
      </c>
    </row>
    <row r="48" spans="2:9" ht="15" customHeight="1" x14ac:dyDescent="0.15">
      <c r="B48" t="s">
        <v>106</v>
      </c>
      <c r="C48" s="12">
        <v>51</v>
      </c>
      <c r="D48" s="8">
        <v>1.07</v>
      </c>
      <c r="E48" s="12">
        <v>39</v>
      </c>
      <c r="F48" s="8">
        <v>1.34</v>
      </c>
      <c r="G48" s="12">
        <v>12</v>
      </c>
      <c r="H48" s="8">
        <v>0.65</v>
      </c>
      <c r="I48" s="12">
        <v>0</v>
      </c>
    </row>
    <row r="51" spans="2:9" ht="33" customHeight="1" x14ac:dyDescent="0.15">
      <c r="B51" t="s">
        <v>230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141</v>
      </c>
      <c r="C52" s="12">
        <v>297</v>
      </c>
      <c r="D52" s="8">
        <v>6.22</v>
      </c>
      <c r="E52" s="12">
        <v>280</v>
      </c>
      <c r="F52" s="8">
        <v>9.59</v>
      </c>
      <c r="G52" s="12">
        <v>17</v>
      </c>
      <c r="H52" s="8">
        <v>0.92</v>
      </c>
      <c r="I52" s="12">
        <v>0</v>
      </c>
    </row>
    <row r="53" spans="2:9" ht="15" customHeight="1" x14ac:dyDescent="0.15">
      <c r="B53" t="s">
        <v>138</v>
      </c>
      <c r="C53" s="12">
        <v>193</v>
      </c>
      <c r="D53" s="8">
        <v>4.04</v>
      </c>
      <c r="E53" s="12">
        <v>183</v>
      </c>
      <c r="F53" s="8">
        <v>6.27</v>
      </c>
      <c r="G53" s="12">
        <v>9</v>
      </c>
      <c r="H53" s="8">
        <v>0.49</v>
      </c>
      <c r="I53" s="12">
        <v>1</v>
      </c>
    </row>
    <row r="54" spans="2:9" ht="15" customHeight="1" x14ac:dyDescent="0.15">
      <c r="B54" t="s">
        <v>134</v>
      </c>
      <c r="C54" s="12">
        <v>172</v>
      </c>
      <c r="D54" s="8">
        <v>3.6</v>
      </c>
      <c r="E54" s="12">
        <v>142</v>
      </c>
      <c r="F54" s="8">
        <v>4.8600000000000003</v>
      </c>
      <c r="G54" s="12">
        <v>30</v>
      </c>
      <c r="H54" s="8">
        <v>1.63</v>
      </c>
      <c r="I54" s="12">
        <v>0</v>
      </c>
    </row>
    <row r="55" spans="2:9" ht="15" customHeight="1" x14ac:dyDescent="0.15">
      <c r="B55" t="s">
        <v>143</v>
      </c>
      <c r="C55" s="12">
        <v>163</v>
      </c>
      <c r="D55" s="8">
        <v>3.41</v>
      </c>
      <c r="E55" s="12">
        <v>140</v>
      </c>
      <c r="F55" s="8">
        <v>4.79</v>
      </c>
      <c r="G55" s="12">
        <v>23</v>
      </c>
      <c r="H55" s="8">
        <v>1.25</v>
      </c>
      <c r="I55" s="12">
        <v>0</v>
      </c>
    </row>
    <row r="56" spans="2:9" ht="15" customHeight="1" x14ac:dyDescent="0.15">
      <c r="B56" t="s">
        <v>140</v>
      </c>
      <c r="C56" s="12">
        <v>142</v>
      </c>
      <c r="D56" s="8">
        <v>2.97</v>
      </c>
      <c r="E56" s="12">
        <v>136</v>
      </c>
      <c r="F56" s="8">
        <v>4.66</v>
      </c>
      <c r="G56" s="12">
        <v>6</v>
      </c>
      <c r="H56" s="8">
        <v>0.33</v>
      </c>
      <c r="I56" s="12">
        <v>0</v>
      </c>
    </row>
    <row r="57" spans="2:9" ht="15" customHeight="1" x14ac:dyDescent="0.15">
      <c r="B57" t="s">
        <v>136</v>
      </c>
      <c r="C57" s="12">
        <v>118</v>
      </c>
      <c r="D57" s="8">
        <v>2.4700000000000002</v>
      </c>
      <c r="E57" s="12">
        <v>114</v>
      </c>
      <c r="F57" s="8">
        <v>3.9</v>
      </c>
      <c r="G57" s="12">
        <v>4</v>
      </c>
      <c r="H57" s="8">
        <v>0.22</v>
      </c>
      <c r="I57" s="12">
        <v>0</v>
      </c>
    </row>
    <row r="58" spans="2:9" ht="15" customHeight="1" x14ac:dyDescent="0.15">
      <c r="B58" t="s">
        <v>132</v>
      </c>
      <c r="C58" s="12">
        <v>113</v>
      </c>
      <c r="D58" s="8">
        <v>2.37</v>
      </c>
      <c r="E58" s="12">
        <v>78</v>
      </c>
      <c r="F58" s="8">
        <v>2.67</v>
      </c>
      <c r="G58" s="12">
        <v>35</v>
      </c>
      <c r="H58" s="8">
        <v>1.9</v>
      </c>
      <c r="I58" s="12">
        <v>0</v>
      </c>
    </row>
    <row r="59" spans="2:9" ht="15" customHeight="1" x14ac:dyDescent="0.15">
      <c r="B59" t="s">
        <v>148</v>
      </c>
      <c r="C59" s="12">
        <v>104</v>
      </c>
      <c r="D59" s="8">
        <v>2.1800000000000002</v>
      </c>
      <c r="E59" s="12">
        <v>96</v>
      </c>
      <c r="F59" s="8">
        <v>3.29</v>
      </c>
      <c r="G59" s="12">
        <v>8</v>
      </c>
      <c r="H59" s="8">
        <v>0.43</v>
      </c>
      <c r="I59" s="12">
        <v>0</v>
      </c>
    </row>
    <row r="60" spans="2:9" ht="15" customHeight="1" x14ac:dyDescent="0.15">
      <c r="B60" t="s">
        <v>135</v>
      </c>
      <c r="C60" s="12">
        <v>104</v>
      </c>
      <c r="D60" s="8">
        <v>2.1800000000000002</v>
      </c>
      <c r="E60" s="12">
        <v>96</v>
      </c>
      <c r="F60" s="8">
        <v>3.29</v>
      </c>
      <c r="G60" s="12">
        <v>8</v>
      </c>
      <c r="H60" s="8">
        <v>0.43</v>
      </c>
      <c r="I60" s="12">
        <v>0</v>
      </c>
    </row>
    <row r="61" spans="2:9" ht="15" customHeight="1" x14ac:dyDescent="0.15">
      <c r="B61" t="s">
        <v>144</v>
      </c>
      <c r="C61" s="12">
        <v>103</v>
      </c>
      <c r="D61" s="8">
        <v>2.16</v>
      </c>
      <c r="E61" s="12">
        <v>98</v>
      </c>
      <c r="F61" s="8">
        <v>3.36</v>
      </c>
      <c r="G61" s="12">
        <v>5</v>
      </c>
      <c r="H61" s="8">
        <v>0.27</v>
      </c>
      <c r="I61" s="12">
        <v>0</v>
      </c>
    </row>
    <row r="62" spans="2:9" ht="15" customHeight="1" x14ac:dyDescent="0.15">
      <c r="B62" t="s">
        <v>137</v>
      </c>
      <c r="C62" s="12">
        <v>101</v>
      </c>
      <c r="D62" s="8">
        <v>2.11</v>
      </c>
      <c r="E62" s="12">
        <v>100</v>
      </c>
      <c r="F62" s="8">
        <v>3.42</v>
      </c>
      <c r="G62" s="12">
        <v>1</v>
      </c>
      <c r="H62" s="8">
        <v>0.05</v>
      </c>
      <c r="I62" s="12">
        <v>0</v>
      </c>
    </row>
    <row r="63" spans="2:9" ht="15" customHeight="1" x14ac:dyDescent="0.15">
      <c r="B63" t="s">
        <v>130</v>
      </c>
      <c r="C63" s="12">
        <v>99</v>
      </c>
      <c r="D63" s="8">
        <v>2.0699999999999998</v>
      </c>
      <c r="E63" s="12">
        <v>68</v>
      </c>
      <c r="F63" s="8">
        <v>2.33</v>
      </c>
      <c r="G63" s="12">
        <v>31</v>
      </c>
      <c r="H63" s="8">
        <v>1.68</v>
      </c>
      <c r="I63" s="12">
        <v>0</v>
      </c>
    </row>
    <row r="64" spans="2:9" ht="15" customHeight="1" x14ac:dyDescent="0.15">
      <c r="B64" t="s">
        <v>126</v>
      </c>
      <c r="C64" s="12">
        <v>82</v>
      </c>
      <c r="D64" s="8">
        <v>1.72</v>
      </c>
      <c r="E64" s="12">
        <v>19</v>
      </c>
      <c r="F64" s="8">
        <v>0.65</v>
      </c>
      <c r="G64" s="12">
        <v>63</v>
      </c>
      <c r="H64" s="8">
        <v>3.41</v>
      </c>
      <c r="I64" s="12">
        <v>0</v>
      </c>
    </row>
    <row r="65" spans="2:9" ht="15" customHeight="1" x14ac:dyDescent="0.15">
      <c r="B65" t="s">
        <v>125</v>
      </c>
      <c r="C65" s="12">
        <v>79</v>
      </c>
      <c r="D65" s="8">
        <v>1.65</v>
      </c>
      <c r="E65" s="12">
        <v>19</v>
      </c>
      <c r="F65" s="8">
        <v>0.65</v>
      </c>
      <c r="G65" s="12">
        <v>60</v>
      </c>
      <c r="H65" s="8">
        <v>3.25</v>
      </c>
      <c r="I65" s="12">
        <v>0</v>
      </c>
    </row>
    <row r="66" spans="2:9" ht="15" customHeight="1" x14ac:dyDescent="0.15">
      <c r="B66" t="s">
        <v>139</v>
      </c>
      <c r="C66" s="12">
        <v>79</v>
      </c>
      <c r="D66" s="8">
        <v>1.65</v>
      </c>
      <c r="E66" s="12">
        <v>31</v>
      </c>
      <c r="F66" s="8">
        <v>1.06</v>
      </c>
      <c r="G66" s="12">
        <v>48</v>
      </c>
      <c r="H66" s="8">
        <v>2.6</v>
      </c>
      <c r="I66" s="12">
        <v>0</v>
      </c>
    </row>
    <row r="67" spans="2:9" ht="15" customHeight="1" x14ac:dyDescent="0.15">
      <c r="B67" t="s">
        <v>142</v>
      </c>
      <c r="C67" s="12">
        <v>79</v>
      </c>
      <c r="D67" s="8">
        <v>1.65</v>
      </c>
      <c r="E67" s="12">
        <v>65</v>
      </c>
      <c r="F67" s="8">
        <v>2.23</v>
      </c>
      <c r="G67" s="12">
        <v>14</v>
      </c>
      <c r="H67" s="8">
        <v>0.76</v>
      </c>
      <c r="I67" s="12">
        <v>0</v>
      </c>
    </row>
    <row r="68" spans="2:9" ht="15" customHeight="1" x14ac:dyDescent="0.15">
      <c r="B68" t="s">
        <v>127</v>
      </c>
      <c r="C68" s="12">
        <v>73</v>
      </c>
      <c r="D68" s="8">
        <v>1.53</v>
      </c>
      <c r="E68" s="12">
        <v>27</v>
      </c>
      <c r="F68" s="8">
        <v>0.92</v>
      </c>
      <c r="G68" s="12">
        <v>46</v>
      </c>
      <c r="H68" s="8">
        <v>2.4900000000000002</v>
      </c>
      <c r="I68" s="12">
        <v>0</v>
      </c>
    </row>
    <row r="69" spans="2:9" ht="15" customHeight="1" x14ac:dyDescent="0.15">
      <c r="B69" t="s">
        <v>160</v>
      </c>
      <c r="C69" s="12">
        <v>70</v>
      </c>
      <c r="D69" s="8">
        <v>1.47</v>
      </c>
      <c r="E69" s="12">
        <v>25</v>
      </c>
      <c r="F69" s="8">
        <v>0.86</v>
      </c>
      <c r="G69" s="12">
        <v>45</v>
      </c>
      <c r="H69" s="8">
        <v>2.44</v>
      </c>
      <c r="I69" s="12">
        <v>0</v>
      </c>
    </row>
    <row r="70" spans="2:9" ht="15" customHeight="1" x14ac:dyDescent="0.15">
      <c r="B70" t="s">
        <v>133</v>
      </c>
      <c r="C70" s="12">
        <v>69</v>
      </c>
      <c r="D70" s="8">
        <v>1.44</v>
      </c>
      <c r="E70" s="12">
        <v>17</v>
      </c>
      <c r="F70" s="8">
        <v>0.57999999999999996</v>
      </c>
      <c r="G70" s="12">
        <v>52</v>
      </c>
      <c r="H70" s="8">
        <v>2.82</v>
      </c>
      <c r="I70" s="12">
        <v>0</v>
      </c>
    </row>
    <row r="71" spans="2:9" ht="15" customHeight="1" x14ac:dyDescent="0.15">
      <c r="B71" t="s">
        <v>128</v>
      </c>
      <c r="C71" s="12">
        <v>68</v>
      </c>
      <c r="D71" s="8">
        <v>1.42</v>
      </c>
      <c r="E71" s="12">
        <v>31</v>
      </c>
      <c r="F71" s="8">
        <v>1.06</v>
      </c>
      <c r="G71" s="12">
        <v>37</v>
      </c>
      <c r="H71" s="8">
        <v>2</v>
      </c>
      <c r="I71" s="12">
        <v>0</v>
      </c>
    </row>
    <row r="73" spans="2:9" ht="15" customHeight="1" x14ac:dyDescent="0.15">
      <c r="B73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302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1</v>
      </c>
      <c r="D5" s="8">
        <v>0.1</v>
      </c>
      <c r="E5" s="12">
        <v>0</v>
      </c>
      <c r="F5" s="8">
        <v>0</v>
      </c>
      <c r="G5" s="12">
        <v>1</v>
      </c>
      <c r="H5" s="8">
        <v>0.26</v>
      </c>
      <c r="I5" s="12">
        <v>0</v>
      </c>
    </row>
    <row r="6" spans="2:9" ht="15" customHeight="1" x14ac:dyDescent="0.15">
      <c r="B6" t="s">
        <v>52</v>
      </c>
      <c r="C6" s="12">
        <v>146</v>
      </c>
      <c r="D6" s="8">
        <v>14.09</v>
      </c>
      <c r="E6" s="12">
        <v>56</v>
      </c>
      <c r="F6" s="8">
        <v>8.6199999999999992</v>
      </c>
      <c r="G6" s="12">
        <v>90</v>
      </c>
      <c r="H6" s="8">
        <v>23.44</v>
      </c>
      <c r="I6" s="12">
        <v>0</v>
      </c>
    </row>
    <row r="7" spans="2:9" ht="15" customHeight="1" x14ac:dyDescent="0.15">
      <c r="B7" t="s">
        <v>53</v>
      </c>
      <c r="C7" s="12">
        <v>70</v>
      </c>
      <c r="D7" s="8">
        <v>6.76</v>
      </c>
      <c r="E7" s="12">
        <v>24</v>
      </c>
      <c r="F7" s="8">
        <v>3.69</v>
      </c>
      <c r="G7" s="12">
        <v>46</v>
      </c>
      <c r="H7" s="8">
        <v>11.98</v>
      </c>
      <c r="I7" s="12">
        <v>0</v>
      </c>
    </row>
    <row r="8" spans="2:9" ht="15" customHeight="1" x14ac:dyDescent="0.15">
      <c r="B8" t="s">
        <v>54</v>
      </c>
      <c r="C8" s="12">
        <v>1</v>
      </c>
      <c r="D8" s="8">
        <v>0.1</v>
      </c>
      <c r="E8" s="12">
        <v>0</v>
      </c>
      <c r="F8" s="8">
        <v>0</v>
      </c>
      <c r="G8" s="12">
        <v>1</v>
      </c>
      <c r="H8" s="8">
        <v>0.26</v>
      </c>
      <c r="I8" s="12">
        <v>0</v>
      </c>
    </row>
    <row r="9" spans="2:9" ht="15" customHeight="1" x14ac:dyDescent="0.15">
      <c r="B9" t="s">
        <v>55</v>
      </c>
      <c r="C9" s="12">
        <v>2</v>
      </c>
      <c r="D9" s="8">
        <v>0.19</v>
      </c>
      <c r="E9" s="12">
        <v>0</v>
      </c>
      <c r="F9" s="8">
        <v>0</v>
      </c>
      <c r="G9" s="12">
        <v>2</v>
      </c>
      <c r="H9" s="8">
        <v>0.52</v>
      </c>
      <c r="I9" s="12">
        <v>0</v>
      </c>
    </row>
    <row r="10" spans="2:9" ht="15" customHeight="1" x14ac:dyDescent="0.15">
      <c r="B10" t="s">
        <v>56</v>
      </c>
      <c r="C10" s="12">
        <v>10</v>
      </c>
      <c r="D10" s="8">
        <v>0.97</v>
      </c>
      <c r="E10" s="12">
        <v>4</v>
      </c>
      <c r="F10" s="8">
        <v>0.62</v>
      </c>
      <c r="G10" s="12">
        <v>6</v>
      </c>
      <c r="H10" s="8">
        <v>1.56</v>
      </c>
      <c r="I10" s="12">
        <v>0</v>
      </c>
    </row>
    <row r="11" spans="2:9" ht="15" customHeight="1" x14ac:dyDescent="0.15">
      <c r="B11" t="s">
        <v>57</v>
      </c>
      <c r="C11" s="12">
        <v>292</v>
      </c>
      <c r="D11" s="8">
        <v>28.19</v>
      </c>
      <c r="E11" s="12">
        <v>172</v>
      </c>
      <c r="F11" s="8">
        <v>26.46</v>
      </c>
      <c r="G11" s="12">
        <v>120</v>
      </c>
      <c r="H11" s="8">
        <v>31.25</v>
      </c>
      <c r="I11" s="12">
        <v>0</v>
      </c>
    </row>
    <row r="12" spans="2:9" ht="15" customHeight="1" x14ac:dyDescent="0.15">
      <c r="B12" t="s">
        <v>58</v>
      </c>
      <c r="C12" s="12">
        <v>11</v>
      </c>
      <c r="D12" s="8">
        <v>1.06</v>
      </c>
      <c r="E12" s="12">
        <v>0</v>
      </c>
      <c r="F12" s="8">
        <v>0</v>
      </c>
      <c r="G12" s="12">
        <v>11</v>
      </c>
      <c r="H12" s="8">
        <v>2.86</v>
      </c>
      <c r="I12" s="12">
        <v>0</v>
      </c>
    </row>
    <row r="13" spans="2:9" ht="15" customHeight="1" x14ac:dyDescent="0.15">
      <c r="B13" t="s">
        <v>59</v>
      </c>
      <c r="C13" s="12">
        <v>78</v>
      </c>
      <c r="D13" s="8">
        <v>7.53</v>
      </c>
      <c r="E13" s="12">
        <v>47</v>
      </c>
      <c r="F13" s="8">
        <v>7.23</v>
      </c>
      <c r="G13" s="12">
        <v>31</v>
      </c>
      <c r="H13" s="8">
        <v>8.07</v>
      </c>
      <c r="I13" s="12">
        <v>0</v>
      </c>
    </row>
    <row r="14" spans="2:9" ht="15" customHeight="1" x14ac:dyDescent="0.15">
      <c r="B14" t="s">
        <v>60</v>
      </c>
      <c r="C14" s="12">
        <v>34</v>
      </c>
      <c r="D14" s="8">
        <v>3.28</v>
      </c>
      <c r="E14" s="12">
        <v>24</v>
      </c>
      <c r="F14" s="8">
        <v>3.69</v>
      </c>
      <c r="G14" s="12">
        <v>10</v>
      </c>
      <c r="H14" s="8">
        <v>2.6</v>
      </c>
      <c r="I14" s="12">
        <v>0</v>
      </c>
    </row>
    <row r="15" spans="2:9" ht="15" customHeight="1" x14ac:dyDescent="0.15">
      <c r="B15" t="s">
        <v>61</v>
      </c>
      <c r="C15" s="12">
        <v>138</v>
      </c>
      <c r="D15" s="8">
        <v>13.32</v>
      </c>
      <c r="E15" s="12">
        <v>121</v>
      </c>
      <c r="F15" s="8">
        <v>18.62</v>
      </c>
      <c r="G15" s="12">
        <v>15</v>
      </c>
      <c r="H15" s="8">
        <v>3.91</v>
      </c>
      <c r="I15" s="12">
        <v>2</v>
      </c>
    </row>
    <row r="16" spans="2:9" ht="15" customHeight="1" x14ac:dyDescent="0.15">
      <c r="B16" t="s">
        <v>62</v>
      </c>
      <c r="C16" s="12">
        <v>144</v>
      </c>
      <c r="D16" s="8">
        <v>13.9</v>
      </c>
      <c r="E16" s="12">
        <v>127</v>
      </c>
      <c r="F16" s="8">
        <v>19.54</v>
      </c>
      <c r="G16" s="12">
        <v>17</v>
      </c>
      <c r="H16" s="8">
        <v>4.43</v>
      </c>
      <c r="I16" s="12">
        <v>0</v>
      </c>
    </row>
    <row r="17" spans="2:9" ht="15" customHeight="1" x14ac:dyDescent="0.15">
      <c r="B17" t="s">
        <v>63</v>
      </c>
      <c r="C17" s="12">
        <v>42</v>
      </c>
      <c r="D17" s="8">
        <v>4.05</v>
      </c>
      <c r="E17" s="12">
        <v>32</v>
      </c>
      <c r="F17" s="8">
        <v>4.92</v>
      </c>
      <c r="G17" s="12">
        <v>10</v>
      </c>
      <c r="H17" s="8">
        <v>2.6</v>
      </c>
      <c r="I17" s="12">
        <v>0</v>
      </c>
    </row>
    <row r="18" spans="2:9" ht="15" customHeight="1" x14ac:dyDescent="0.15">
      <c r="B18" t="s">
        <v>64</v>
      </c>
      <c r="C18" s="12">
        <v>38</v>
      </c>
      <c r="D18" s="8">
        <v>3.67</v>
      </c>
      <c r="E18" s="12">
        <v>28</v>
      </c>
      <c r="F18" s="8">
        <v>4.3099999999999996</v>
      </c>
      <c r="G18" s="12">
        <v>10</v>
      </c>
      <c r="H18" s="8">
        <v>2.6</v>
      </c>
      <c r="I18" s="12">
        <v>0</v>
      </c>
    </row>
    <row r="19" spans="2:9" ht="15" customHeight="1" x14ac:dyDescent="0.15">
      <c r="B19" t="s">
        <v>65</v>
      </c>
      <c r="C19" s="12">
        <v>29</v>
      </c>
      <c r="D19" s="8">
        <v>2.8</v>
      </c>
      <c r="E19" s="12">
        <v>15</v>
      </c>
      <c r="F19" s="8">
        <v>2.31</v>
      </c>
      <c r="G19" s="12">
        <v>14</v>
      </c>
      <c r="H19" s="8">
        <v>3.65</v>
      </c>
      <c r="I19" s="12">
        <v>0</v>
      </c>
    </row>
    <row r="20" spans="2:9" ht="15" customHeight="1" x14ac:dyDescent="0.15">
      <c r="B20" s="9" t="s">
        <v>215</v>
      </c>
      <c r="C20" s="12">
        <f>SUM(LTBL_28212[総数／事業所数])</f>
        <v>1036</v>
      </c>
      <c r="E20" s="12">
        <f>SUBTOTAL(109,LTBL_28212[個人／事業所数])</f>
        <v>650</v>
      </c>
      <c r="G20" s="12">
        <f>SUBTOTAL(109,LTBL_28212[法人／事業所数])</f>
        <v>384</v>
      </c>
      <c r="I20" s="12">
        <f>SUBTOTAL(109,LTBL_28212[法人以外の団体／事業所数])</f>
        <v>2</v>
      </c>
    </row>
    <row r="21" spans="2:9" ht="15" customHeight="1" x14ac:dyDescent="0.15">
      <c r="E21" s="11">
        <f>LTBL_28212[[#Totals],[個人／事業所数]]/LTBL_28212[[#Totals],[総数／事業所数]]</f>
        <v>0.62741312741312738</v>
      </c>
      <c r="G21" s="11">
        <f>LTBL_28212[[#Totals],[法人／事業所数]]/LTBL_28212[[#Totals],[総数／事業所数]]</f>
        <v>0.37065637065637064</v>
      </c>
      <c r="I21" s="11">
        <f>LTBL_28212[[#Totals],[法人以外の団体／事業所数]]/LTBL_28212[[#Totals],[総数／事業所数]]</f>
        <v>1.9305019305019305E-3</v>
      </c>
    </row>
    <row r="23" spans="2:9" ht="33" customHeight="1" x14ac:dyDescent="0.15">
      <c r="B23" t="s">
        <v>214</v>
      </c>
      <c r="C23" s="10" t="s">
        <v>67</v>
      </c>
      <c r="D23" s="10" t="s">
        <v>303</v>
      </c>
      <c r="E23" s="10" t="s">
        <v>69</v>
      </c>
      <c r="F23" s="10" t="s">
        <v>304</v>
      </c>
      <c r="G23" s="10" t="s">
        <v>71</v>
      </c>
      <c r="H23" s="10" t="s">
        <v>305</v>
      </c>
      <c r="I23" s="10" t="s">
        <v>73</v>
      </c>
    </row>
    <row r="24" spans="2:9" ht="15" customHeight="1" x14ac:dyDescent="0.15">
      <c r="B24" t="s">
        <v>217</v>
      </c>
      <c r="C24">
        <v>3</v>
      </c>
      <c r="D24" t="s">
        <v>216</v>
      </c>
      <c r="E24">
        <v>0</v>
      </c>
      <c r="F24" t="s">
        <v>218</v>
      </c>
      <c r="G24">
        <v>3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1</v>
      </c>
      <c r="D25" t="s">
        <v>216</v>
      </c>
      <c r="E25">
        <v>0</v>
      </c>
      <c r="F25" t="s">
        <v>218</v>
      </c>
      <c r="G25">
        <v>1</v>
      </c>
      <c r="H25" t="s">
        <v>219</v>
      </c>
      <c r="I25">
        <v>0</v>
      </c>
    </row>
    <row r="28" spans="2:9" ht="33" customHeight="1" x14ac:dyDescent="0.15">
      <c r="B28" t="s">
        <v>229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89</v>
      </c>
      <c r="C29" s="12">
        <v>125</v>
      </c>
      <c r="D29" s="8">
        <v>12.07</v>
      </c>
      <c r="E29" s="12">
        <v>113</v>
      </c>
      <c r="F29" s="8">
        <v>17.38</v>
      </c>
      <c r="G29" s="12">
        <v>10</v>
      </c>
      <c r="H29" s="8">
        <v>2.6</v>
      </c>
      <c r="I29" s="12">
        <v>2</v>
      </c>
    </row>
    <row r="30" spans="2:9" ht="15" customHeight="1" x14ac:dyDescent="0.15">
      <c r="B30" t="s">
        <v>90</v>
      </c>
      <c r="C30" s="12">
        <v>125</v>
      </c>
      <c r="D30" s="8">
        <v>12.07</v>
      </c>
      <c r="E30" s="12">
        <v>114</v>
      </c>
      <c r="F30" s="8">
        <v>17.54</v>
      </c>
      <c r="G30" s="12">
        <v>11</v>
      </c>
      <c r="H30" s="8">
        <v>2.86</v>
      </c>
      <c r="I30" s="12">
        <v>0</v>
      </c>
    </row>
    <row r="31" spans="2:9" ht="15" customHeight="1" x14ac:dyDescent="0.15">
      <c r="B31" t="s">
        <v>84</v>
      </c>
      <c r="C31" s="12">
        <v>110</v>
      </c>
      <c r="D31" s="8">
        <v>10.62</v>
      </c>
      <c r="E31" s="12">
        <v>61</v>
      </c>
      <c r="F31" s="8">
        <v>9.3800000000000008</v>
      </c>
      <c r="G31" s="12">
        <v>49</v>
      </c>
      <c r="H31" s="8">
        <v>12.76</v>
      </c>
      <c r="I31" s="12">
        <v>0</v>
      </c>
    </row>
    <row r="32" spans="2:9" ht="15" customHeight="1" x14ac:dyDescent="0.15">
      <c r="B32" t="s">
        <v>74</v>
      </c>
      <c r="C32" s="12">
        <v>68</v>
      </c>
      <c r="D32" s="8">
        <v>6.56</v>
      </c>
      <c r="E32" s="12">
        <v>21</v>
      </c>
      <c r="F32" s="8">
        <v>3.23</v>
      </c>
      <c r="G32" s="12">
        <v>47</v>
      </c>
      <c r="H32" s="8">
        <v>12.24</v>
      </c>
      <c r="I32" s="12">
        <v>0</v>
      </c>
    </row>
    <row r="33" spans="2:9" ht="15" customHeight="1" x14ac:dyDescent="0.15">
      <c r="B33" t="s">
        <v>86</v>
      </c>
      <c r="C33" s="12">
        <v>64</v>
      </c>
      <c r="D33" s="8">
        <v>6.18</v>
      </c>
      <c r="E33" s="12">
        <v>43</v>
      </c>
      <c r="F33" s="8">
        <v>6.62</v>
      </c>
      <c r="G33" s="12">
        <v>21</v>
      </c>
      <c r="H33" s="8">
        <v>5.47</v>
      </c>
      <c r="I33" s="12">
        <v>0</v>
      </c>
    </row>
    <row r="34" spans="2:9" ht="15" customHeight="1" x14ac:dyDescent="0.15">
      <c r="B34" t="s">
        <v>82</v>
      </c>
      <c r="C34" s="12">
        <v>55</v>
      </c>
      <c r="D34" s="8">
        <v>5.31</v>
      </c>
      <c r="E34" s="12">
        <v>44</v>
      </c>
      <c r="F34" s="8">
        <v>6.77</v>
      </c>
      <c r="G34" s="12">
        <v>11</v>
      </c>
      <c r="H34" s="8">
        <v>2.86</v>
      </c>
      <c r="I34" s="12">
        <v>0</v>
      </c>
    </row>
    <row r="35" spans="2:9" ht="15" customHeight="1" x14ac:dyDescent="0.15">
      <c r="B35" t="s">
        <v>75</v>
      </c>
      <c r="C35" s="12">
        <v>44</v>
      </c>
      <c r="D35" s="8">
        <v>4.25</v>
      </c>
      <c r="E35" s="12">
        <v>23</v>
      </c>
      <c r="F35" s="8">
        <v>3.54</v>
      </c>
      <c r="G35" s="12">
        <v>21</v>
      </c>
      <c r="H35" s="8">
        <v>5.47</v>
      </c>
      <c r="I35" s="12">
        <v>0</v>
      </c>
    </row>
    <row r="36" spans="2:9" ht="15" customHeight="1" x14ac:dyDescent="0.15">
      <c r="B36" t="s">
        <v>92</v>
      </c>
      <c r="C36" s="12">
        <v>42</v>
      </c>
      <c r="D36" s="8">
        <v>4.05</v>
      </c>
      <c r="E36" s="12">
        <v>32</v>
      </c>
      <c r="F36" s="8">
        <v>4.92</v>
      </c>
      <c r="G36" s="12">
        <v>10</v>
      </c>
      <c r="H36" s="8">
        <v>2.6</v>
      </c>
      <c r="I36" s="12">
        <v>0</v>
      </c>
    </row>
    <row r="37" spans="2:9" ht="15" customHeight="1" x14ac:dyDescent="0.15">
      <c r="B37" t="s">
        <v>83</v>
      </c>
      <c r="C37" s="12">
        <v>40</v>
      </c>
      <c r="D37" s="8">
        <v>3.86</v>
      </c>
      <c r="E37" s="12">
        <v>25</v>
      </c>
      <c r="F37" s="8">
        <v>3.85</v>
      </c>
      <c r="G37" s="12">
        <v>15</v>
      </c>
      <c r="H37" s="8">
        <v>3.91</v>
      </c>
      <c r="I37" s="12">
        <v>0</v>
      </c>
    </row>
    <row r="38" spans="2:9" ht="15" customHeight="1" x14ac:dyDescent="0.15">
      <c r="B38" t="s">
        <v>81</v>
      </c>
      <c r="C38" s="12">
        <v>37</v>
      </c>
      <c r="D38" s="8">
        <v>3.57</v>
      </c>
      <c r="E38" s="12">
        <v>21</v>
      </c>
      <c r="F38" s="8">
        <v>3.23</v>
      </c>
      <c r="G38" s="12">
        <v>16</v>
      </c>
      <c r="H38" s="8">
        <v>4.17</v>
      </c>
      <c r="I38" s="12">
        <v>0</v>
      </c>
    </row>
    <row r="39" spans="2:9" ht="15" customHeight="1" x14ac:dyDescent="0.15">
      <c r="B39" t="s">
        <v>76</v>
      </c>
      <c r="C39" s="12">
        <v>34</v>
      </c>
      <c r="D39" s="8">
        <v>3.28</v>
      </c>
      <c r="E39" s="12">
        <v>12</v>
      </c>
      <c r="F39" s="8">
        <v>1.85</v>
      </c>
      <c r="G39" s="12">
        <v>22</v>
      </c>
      <c r="H39" s="8">
        <v>5.73</v>
      </c>
      <c r="I39" s="12">
        <v>0</v>
      </c>
    </row>
    <row r="40" spans="2:9" ht="15" customHeight="1" x14ac:dyDescent="0.15">
      <c r="B40" t="s">
        <v>93</v>
      </c>
      <c r="C40" s="12">
        <v>30</v>
      </c>
      <c r="D40" s="8">
        <v>2.9</v>
      </c>
      <c r="E40" s="12">
        <v>27</v>
      </c>
      <c r="F40" s="8">
        <v>4.1500000000000004</v>
      </c>
      <c r="G40" s="12">
        <v>3</v>
      </c>
      <c r="H40" s="8">
        <v>0.78</v>
      </c>
      <c r="I40" s="12">
        <v>0</v>
      </c>
    </row>
    <row r="41" spans="2:9" ht="15" customHeight="1" x14ac:dyDescent="0.15">
      <c r="B41" t="s">
        <v>88</v>
      </c>
      <c r="C41" s="12">
        <v>22</v>
      </c>
      <c r="D41" s="8">
        <v>2.12</v>
      </c>
      <c r="E41" s="12">
        <v>12</v>
      </c>
      <c r="F41" s="8">
        <v>1.85</v>
      </c>
      <c r="G41" s="12">
        <v>10</v>
      </c>
      <c r="H41" s="8">
        <v>2.6</v>
      </c>
      <c r="I41" s="12">
        <v>0</v>
      </c>
    </row>
    <row r="42" spans="2:9" ht="15" customHeight="1" x14ac:dyDescent="0.15">
      <c r="B42" t="s">
        <v>79</v>
      </c>
      <c r="C42" s="12">
        <v>14</v>
      </c>
      <c r="D42" s="8">
        <v>1.35</v>
      </c>
      <c r="E42" s="12">
        <v>5</v>
      </c>
      <c r="F42" s="8">
        <v>0.77</v>
      </c>
      <c r="G42" s="12">
        <v>9</v>
      </c>
      <c r="H42" s="8">
        <v>2.34</v>
      </c>
      <c r="I42" s="12">
        <v>0</v>
      </c>
    </row>
    <row r="43" spans="2:9" ht="15" customHeight="1" x14ac:dyDescent="0.15">
      <c r="B43" t="s">
        <v>91</v>
      </c>
      <c r="C43" s="12">
        <v>14</v>
      </c>
      <c r="D43" s="8">
        <v>1.35</v>
      </c>
      <c r="E43" s="12">
        <v>11</v>
      </c>
      <c r="F43" s="8">
        <v>1.69</v>
      </c>
      <c r="G43" s="12">
        <v>3</v>
      </c>
      <c r="H43" s="8">
        <v>0.78</v>
      </c>
      <c r="I43" s="12">
        <v>0</v>
      </c>
    </row>
    <row r="44" spans="2:9" ht="15" customHeight="1" x14ac:dyDescent="0.15">
      <c r="B44" t="s">
        <v>78</v>
      </c>
      <c r="C44" s="12">
        <v>13</v>
      </c>
      <c r="D44" s="8">
        <v>1.25</v>
      </c>
      <c r="E44" s="12">
        <v>7</v>
      </c>
      <c r="F44" s="8">
        <v>1.08</v>
      </c>
      <c r="G44" s="12">
        <v>6</v>
      </c>
      <c r="H44" s="8">
        <v>1.56</v>
      </c>
      <c r="I44" s="12">
        <v>0</v>
      </c>
    </row>
    <row r="45" spans="2:9" ht="15" customHeight="1" x14ac:dyDescent="0.15">
      <c r="B45" t="s">
        <v>87</v>
      </c>
      <c r="C45" s="12">
        <v>12</v>
      </c>
      <c r="D45" s="8">
        <v>1.1599999999999999</v>
      </c>
      <c r="E45" s="12">
        <v>12</v>
      </c>
      <c r="F45" s="8">
        <v>1.85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96</v>
      </c>
      <c r="C46" s="12">
        <v>11</v>
      </c>
      <c r="D46" s="8">
        <v>1.06</v>
      </c>
      <c r="E46" s="12">
        <v>5</v>
      </c>
      <c r="F46" s="8">
        <v>0.77</v>
      </c>
      <c r="G46" s="12">
        <v>6</v>
      </c>
      <c r="H46" s="8">
        <v>1.56</v>
      </c>
      <c r="I46" s="12">
        <v>0</v>
      </c>
    </row>
    <row r="47" spans="2:9" ht="15" customHeight="1" x14ac:dyDescent="0.15">
      <c r="B47" t="s">
        <v>111</v>
      </c>
      <c r="C47" s="12">
        <v>11</v>
      </c>
      <c r="D47" s="8">
        <v>1.06</v>
      </c>
      <c r="E47" s="12">
        <v>0</v>
      </c>
      <c r="F47" s="8">
        <v>0</v>
      </c>
      <c r="G47" s="12">
        <v>11</v>
      </c>
      <c r="H47" s="8">
        <v>2.86</v>
      </c>
      <c r="I47" s="12">
        <v>0</v>
      </c>
    </row>
    <row r="48" spans="2:9" ht="15" customHeight="1" x14ac:dyDescent="0.15">
      <c r="B48" t="s">
        <v>85</v>
      </c>
      <c r="C48" s="12">
        <v>11</v>
      </c>
      <c r="D48" s="8">
        <v>1.06</v>
      </c>
      <c r="E48" s="12">
        <v>4</v>
      </c>
      <c r="F48" s="8">
        <v>0.62</v>
      </c>
      <c r="G48" s="12">
        <v>7</v>
      </c>
      <c r="H48" s="8">
        <v>1.82</v>
      </c>
      <c r="I48" s="12">
        <v>0</v>
      </c>
    </row>
    <row r="49" spans="2:9" ht="15" customHeight="1" x14ac:dyDescent="0.15">
      <c r="B49" t="s">
        <v>106</v>
      </c>
      <c r="C49" s="12">
        <v>11</v>
      </c>
      <c r="D49" s="8">
        <v>1.06</v>
      </c>
      <c r="E49" s="12">
        <v>10</v>
      </c>
      <c r="F49" s="8">
        <v>1.54</v>
      </c>
      <c r="G49" s="12">
        <v>1</v>
      </c>
      <c r="H49" s="8">
        <v>0.26</v>
      </c>
      <c r="I49" s="12">
        <v>0</v>
      </c>
    </row>
    <row r="52" spans="2:9" ht="33" customHeight="1" x14ac:dyDescent="0.15">
      <c r="B52" t="s">
        <v>244</v>
      </c>
      <c r="C52" s="10" t="s">
        <v>67</v>
      </c>
      <c r="D52" s="10" t="s">
        <v>68</v>
      </c>
      <c r="E52" s="10" t="s">
        <v>69</v>
      </c>
      <c r="F52" s="10" t="s">
        <v>70</v>
      </c>
      <c r="G52" s="10" t="s">
        <v>71</v>
      </c>
      <c r="H52" s="10" t="s">
        <v>72</v>
      </c>
      <c r="I52" s="10" t="s">
        <v>73</v>
      </c>
    </row>
    <row r="53" spans="2:9" ht="15" customHeight="1" x14ac:dyDescent="0.15">
      <c r="B53" t="s">
        <v>141</v>
      </c>
      <c r="C53" s="12">
        <v>61</v>
      </c>
      <c r="D53" s="8">
        <v>5.89</v>
      </c>
      <c r="E53" s="12">
        <v>57</v>
      </c>
      <c r="F53" s="8">
        <v>8.77</v>
      </c>
      <c r="G53" s="12">
        <v>4</v>
      </c>
      <c r="H53" s="8">
        <v>1.04</v>
      </c>
      <c r="I53" s="12">
        <v>0</v>
      </c>
    </row>
    <row r="54" spans="2:9" ht="15" customHeight="1" x14ac:dyDescent="0.15">
      <c r="B54" t="s">
        <v>140</v>
      </c>
      <c r="C54" s="12">
        <v>50</v>
      </c>
      <c r="D54" s="8">
        <v>4.83</v>
      </c>
      <c r="E54" s="12">
        <v>48</v>
      </c>
      <c r="F54" s="8">
        <v>7.38</v>
      </c>
      <c r="G54" s="12">
        <v>2</v>
      </c>
      <c r="H54" s="8">
        <v>0.52</v>
      </c>
      <c r="I54" s="12">
        <v>0</v>
      </c>
    </row>
    <row r="55" spans="2:9" ht="15" customHeight="1" x14ac:dyDescent="0.15">
      <c r="B55" t="s">
        <v>132</v>
      </c>
      <c r="C55" s="12">
        <v>37</v>
      </c>
      <c r="D55" s="8">
        <v>3.57</v>
      </c>
      <c r="E55" s="12">
        <v>27</v>
      </c>
      <c r="F55" s="8">
        <v>4.1500000000000004</v>
      </c>
      <c r="G55" s="12">
        <v>10</v>
      </c>
      <c r="H55" s="8">
        <v>2.6</v>
      </c>
      <c r="I55" s="12">
        <v>0</v>
      </c>
    </row>
    <row r="56" spans="2:9" ht="15" customHeight="1" x14ac:dyDescent="0.15">
      <c r="B56" t="s">
        <v>138</v>
      </c>
      <c r="C56" s="12">
        <v>33</v>
      </c>
      <c r="D56" s="8">
        <v>3.19</v>
      </c>
      <c r="E56" s="12">
        <v>30</v>
      </c>
      <c r="F56" s="8">
        <v>4.62</v>
      </c>
      <c r="G56" s="12">
        <v>2</v>
      </c>
      <c r="H56" s="8">
        <v>0.52</v>
      </c>
      <c r="I56" s="12">
        <v>1</v>
      </c>
    </row>
    <row r="57" spans="2:9" ht="15" customHeight="1" x14ac:dyDescent="0.15">
      <c r="B57" t="s">
        <v>125</v>
      </c>
      <c r="C57" s="12">
        <v>28</v>
      </c>
      <c r="D57" s="8">
        <v>2.7</v>
      </c>
      <c r="E57" s="12">
        <v>6</v>
      </c>
      <c r="F57" s="8">
        <v>0.92</v>
      </c>
      <c r="G57" s="12">
        <v>22</v>
      </c>
      <c r="H57" s="8">
        <v>5.73</v>
      </c>
      <c r="I57" s="12">
        <v>0</v>
      </c>
    </row>
    <row r="58" spans="2:9" ht="15" customHeight="1" x14ac:dyDescent="0.15">
      <c r="B58" t="s">
        <v>134</v>
      </c>
      <c r="C58" s="12">
        <v>28</v>
      </c>
      <c r="D58" s="8">
        <v>2.7</v>
      </c>
      <c r="E58" s="12">
        <v>23</v>
      </c>
      <c r="F58" s="8">
        <v>3.54</v>
      </c>
      <c r="G58" s="12">
        <v>5</v>
      </c>
      <c r="H58" s="8">
        <v>1.3</v>
      </c>
      <c r="I58" s="12">
        <v>0</v>
      </c>
    </row>
    <row r="59" spans="2:9" ht="15" customHeight="1" x14ac:dyDescent="0.15">
      <c r="B59" t="s">
        <v>135</v>
      </c>
      <c r="C59" s="12">
        <v>24</v>
      </c>
      <c r="D59" s="8">
        <v>2.3199999999999998</v>
      </c>
      <c r="E59" s="12">
        <v>20</v>
      </c>
      <c r="F59" s="8">
        <v>3.08</v>
      </c>
      <c r="G59" s="12">
        <v>4</v>
      </c>
      <c r="H59" s="8">
        <v>1.04</v>
      </c>
      <c r="I59" s="12">
        <v>0</v>
      </c>
    </row>
    <row r="60" spans="2:9" ht="15" customHeight="1" x14ac:dyDescent="0.15">
      <c r="B60" t="s">
        <v>130</v>
      </c>
      <c r="C60" s="12">
        <v>23</v>
      </c>
      <c r="D60" s="8">
        <v>2.2200000000000002</v>
      </c>
      <c r="E60" s="12">
        <v>16</v>
      </c>
      <c r="F60" s="8">
        <v>2.46</v>
      </c>
      <c r="G60" s="12">
        <v>7</v>
      </c>
      <c r="H60" s="8">
        <v>1.82</v>
      </c>
      <c r="I60" s="12">
        <v>0</v>
      </c>
    </row>
    <row r="61" spans="2:9" ht="15" customHeight="1" x14ac:dyDescent="0.15">
      <c r="B61" t="s">
        <v>144</v>
      </c>
      <c r="C61" s="12">
        <v>23</v>
      </c>
      <c r="D61" s="8">
        <v>2.2200000000000002</v>
      </c>
      <c r="E61" s="12">
        <v>21</v>
      </c>
      <c r="F61" s="8">
        <v>3.23</v>
      </c>
      <c r="G61" s="12">
        <v>2</v>
      </c>
      <c r="H61" s="8">
        <v>0.52</v>
      </c>
      <c r="I61" s="12">
        <v>0</v>
      </c>
    </row>
    <row r="62" spans="2:9" ht="15" customHeight="1" x14ac:dyDescent="0.15">
      <c r="B62" t="s">
        <v>143</v>
      </c>
      <c r="C62" s="12">
        <v>21</v>
      </c>
      <c r="D62" s="8">
        <v>2.0299999999999998</v>
      </c>
      <c r="E62" s="12">
        <v>16</v>
      </c>
      <c r="F62" s="8">
        <v>2.46</v>
      </c>
      <c r="G62" s="12">
        <v>5</v>
      </c>
      <c r="H62" s="8">
        <v>1.3</v>
      </c>
      <c r="I62" s="12">
        <v>0</v>
      </c>
    </row>
    <row r="63" spans="2:9" ht="15" customHeight="1" x14ac:dyDescent="0.15">
      <c r="B63" t="s">
        <v>128</v>
      </c>
      <c r="C63" s="12">
        <v>20</v>
      </c>
      <c r="D63" s="8">
        <v>1.93</v>
      </c>
      <c r="E63" s="12">
        <v>11</v>
      </c>
      <c r="F63" s="8">
        <v>1.69</v>
      </c>
      <c r="G63" s="12">
        <v>9</v>
      </c>
      <c r="H63" s="8">
        <v>2.34</v>
      </c>
      <c r="I63" s="12">
        <v>0</v>
      </c>
    </row>
    <row r="64" spans="2:9" ht="15" customHeight="1" x14ac:dyDescent="0.15">
      <c r="B64" t="s">
        <v>131</v>
      </c>
      <c r="C64" s="12">
        <v>20</v>
      </c>
      <c r="D64" s="8">
        <v>1.93</v>
      </c>
      <c r="E64" s="12">
        <v>11</v>
      </c>
      <c r="F64" s="8">
        <v>1.69</v>
      </c>
      <c r="G64" s="12">
        <v>9</v>
      </c>
      <c r="H64" s="8">
        <v>2.34</v>
      </c>
      <c r="I64" s="12">
        <v>0</v>
      </c>
    </row>
    <row r="65" spans="2:9" ht="15" customHeight="1" x14ac:dyDescent="0.15">
      <c r="B65" t="s">
        <v>127</v>
      </c>
      <c r="C65" s="12">
        <v>19</v>
      </c>
      <c r="D65" s="8">
        <v>1.83</v>
      </c>
      <c r="E65" s="12">
        <v>10</v>
      </c>
      <c r="F65" s="8">
        <v>1.54</v>
      </c>
      <c r="G65" s="12">
        <v>9</v>
      </c>
      <c r="H65" s="8">
        <v>2.34</v>
      </c>
      <c r="I65" s="12">
        <v>0</v>
      </c>
    </row>
    <row r="66" spans="2:9" ht="15" customHeight="1" x14ac:dyDescent="0.15">
      <c r="B66" t="s">
        <v>151</v>
      </c>
      <c r="C66" s="12">
        <v>19</v>
      </c>
      <c r="D66" s="8">
        <v>1.83</v>
      </c>
      <c r="E66" s="12">
        <v>18</v>
      </c>
      <c r="F66" s="8">
        <v>2.77</v>
      </c>
      <c r="G66" s="12">
        <v>1</v>
      </c>
      <c r="H66" s="8">
        <v>0.26</v>
      </c>
      <c r="I66" s="12">
        <v>0</v>
      </c>
    </row>
    <row r="67" spans="2:9" ht="15" customHeight="1" x14ac:dyDescent="0.15">
      <c r="B67" t="s">
        <v>172</v>
      </c>
      <c r="C67" s="12">
        <v>18</v>
      </c>
      <c r="D67" s="8">
        <v>1.74</v>
      </c>
      <c r="E67" s="12">
        <v>3</v>
      </c>
      <c r="F67" s="8">
        <v>0.46</v>
      </c>
      <c r="G67" s="12">
        <v>15</v>
      </c>
      <c r="H67" s="8">
        <v>3.91</v>
      </c>
      <c r="I67" s="12">
        <v>0</v>
      </c>
    </row>
    <row r="68" spans="2:9" ht="15" customHeight="1" x14ac:dyDescent="0.15">
      <c r="B68" t="s">
        <v>167</v>
      </c>
      <c r="C68" s="12">
        <v>17</v>
      </c>
      <c r="D68" s="8">
        <v>1.64</v>
      </c>
      <c r="E68" s="12">
        <v>5</v>
      </c>
      <c r="F68" s="8">
        <v>0.77</v>
      </c>
      <c r="G68" s="12">
        <v>12</v>
      </c>
      <c r="H68" s="8">
        <v>3.13</v>
      </c>
      <c r="I68" s="12">
        <v>0</v>
      </c>
    </row>
    <row r="69" spans="2:9" ht="15" customHeight="1" x14ac:dyDescent="0.15">
      <c r="B69" t="s">
        <v>155</v>
      </c>
      <c r="C69" s="12">
        <v>17</v>
      </c>
      <c r="D69" s="8">
        <v>1.64</v>
      </c>
      <c r="E69" s="12">
        <v>15</v>
      </c>
      <c r="F69" s="8">
        <v>2.31</v>
      </c>
      <c r="G69" s="12">
        <v>2</v>
      </c>
      <c r="H69" s="8">
        <v>0.52</v>
      </c>
      <c r="I69" s="12">
        <v>0</v>
      </c>
    </row>
    <row r="70" spans="2:9" ht="15" customHeight="1" x14ac:dyDescent="0.15">
      <c r="B70" t="s">
        <v>129</v>
      </c>
      <c r="C70" s="12">
        <v>16</v>
      </c>
      <c r="D70" s="8">
        <v>1.54</v>
      </c>
      <c r="E70" s="12">
        <v>15</v>
      </c>
      <c r="F70" s="8">
        <v>2.31</v>
      </c>
      <c r="G70" s="12">
        <v>1</v>
      </c>
      <c r="H70" s="8">
        <v>0.26</v>
      </c>
      <c r="I70" s="12">
        <v>0</v>
      </c>
    </row>
    <row r="71" spans="2:9" ht="15" customHeight="1" x14ac:dyDescent="0.15">
      <c r="B71" t="s">
        <v>148</v>
      </c>
      <c r="C71" s="12">
        <v>16</v>
      </c>
      <c r="D71" s="8">
        <v>1.54</v>
      </c>
      <c r="E71" s="12">
        <v>16</v>
      </c>
      <c r="F71" s="8">
        <v>2.46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137</v>
      </c>
      <c r="C72" s="12">
        <v>16</v>
      </c>
      <c r="D72" s="8">
        <v>1.54</v>
      </c>
      <c r="E72" s="12">
        <v>16</v>
      </c>
      <c r="F72" s="8">
        <v>2.46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142</v>
      </c>
      <c r="C73" s="12">
        <v>16</v>
      </c>
      <c r="D73" s="8">
        <v>1.54</v>
      </c>
      <c r="E73" s="12">
        <v>15</v>
      </c>
      <c r="F73" s="8">
        <v>2.31</v>
      </c>
      <c r="G73" s="12">
        <v>1</v>
      </c>
      <c r="H73" s="8">
        <v>0.26</v>
      </c>
      <c r="I73" s="12">
        <v>0</v>
      </c>
    </row>
    <row r="75" spans="2:9" ht="15" customHeight="1" x14ac:dyDescent="0.15">
      <c r="B75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306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188</v>
      </c>
      <c r="D6" s="8">
        <v>12.53</v>
      </c>
      <c r="E6" s="12">
        <v>106</v>
      </c>
      <c r="F6" s="8">
        <v>10.86</v>
      </c>
      <c r="G6" s="12">
        <v>82</v>
      </c>
      <c r="H6" s="8">
        <v>15.83</v>
      </c>
      <c r="I6" s="12">
        <v>0</v>
      </c>
    </row>
    <row r="7" spans="2:9" ht="15" customHeight="1" x14ac:dyDescent="0.15">
      <c r="B7" t="s">
        <v>53</v>
      </c>
      <c r="C7" s="12">
        <v>350</v>
      </c>
      <c r="D7" s="8">
        <v>23.33</v>
      </c>
      <c r="E7" s="12">
        <v>211</v>
      </c>
      <c r="F7" s="8">
        <v>21.62</v>
      </c>
      <c r="G7" s="12">
        <v>139</v>
      </c>
      <c r="H7" s="8">
        <v>26.83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6</v>
      </c>
      <c r="D9" s="8">
        <v>0.4</v>
      </c>
      <c r="E9" s="12">
        <v>2</v>
      </c>
      <c r="F9" s="8">
        <v>0.2</v>
      </c>
      <c r="G9" s="12">
        <v>4</v>
      </c>
      <c r="H9" s="8">
        <v>0.77</v>
      </c>
      <c r="I9" s="12">
        <v>0</v>
      </c>
    </row>
    <row r="10" spans="2:9" ht="15" customHeight="1" x14ac:dyDescent="0.15">
      <c r="B10" t="s">
        <v>56</v>
      </c>
      <c r="C10" s="12">
        <v>12</v>
      </c>
      <c r="D10" s="8">
        <v>0.8</v>
      </c>
      <c r="E10" s="12">
        <v>3</v>
      </c>
      <c r="F10" s="8">
        <v>0.31</v>
      </c>
      <c r="G10" s="12">
        <v>9</v>
      </c>
      <c r="H10" s="8">
        <v>1.74</v>
      </c>
      <c r="I10" s="12">
        <v>0</v>
      </c>
    </row>
    <row r="11" spans="2:9" ht="15" customHeight="1" x14ac:dyDescent="0.15">
      <c r="B11" t="s">
        <v>57</v>
      </c>
      <c r="C11" s="12">
        <v>379</v>
      </c>
      <c r="D11" s="8">
        <v>25.27</v>
      </c>
      <c r="E11" s="12">
        <v>230</v>
      </c>
      <c r="F11" s="8">
        <v>23.57</v>
      </c>
      <c r="G11" s="12">
        <v>148</v>
      </c>
      <c r="H11" s="8">
        <v>28.57</v>
      </c>
      <c r="I11" s="12">
        <v>1</v>
      </c>
    </row>
    <row r="12" spans="2:9" ht="15" customHeight="1" x14ac:dyDescent="0.15">
      <c r="B12" t="s">
        <v>58</v>
      </c>
      <c r="C12" s="12">
        <v>14</v>
      </c>
      <c r="D12" s="8">
        <v>0.93</v>
      </c>
      <c r="E12" s="12">
        <v>7</v>
      </c>
      <c r="F12" s="8">
        <v>0.72</v>
      </c>
      <c r="G12" s="12">
        <v>7</v>
      </c>
      <c r="H12" s="8">
        <v>1.35</v>
      </c>
      <c r="I12" s="12">
        <v>0</v>
      </c>
    </row>
    <row r="13" spans="2:9" ht="15" customHeight="1" x14ac:dyDescent="0.15">
      <c r="B13" t="s">
        <v>59</v>
      </c>
      <c r="C13" s="12">
        <v>55</v>
      </c>
      <c r="D13" s="8">
        <v>3.67</v>
      </c>
      <c r="E13" s="12">
        <v>23</v>
      </c>
      <c r="F13" s="8">
        <v>2.36</v>
      </c>
      <c r="G13" s="12">
        <v>32</v>
      </c>
      <c r="H13" s="8">
        <v>6.18</v>
      </c>
      <c r="I13" s="12">
        <v>0</v>
      </c>
    </row>
    <row r="14" spans="2:9" ht="15" customHeight="1" x14ac:dyDescent="0.15">
      <c r="B14" t="s">
        <v>60</v>
      </c>
      <c r="C14" s="12">
        <v>53</v>
      </c>
      <c r="D14" s="8">
        <v>3.53</v>
      </c>
      <c r="E14" s="12">
        <v>40</v>
      </c>
      <c r="F14" s="8">
        <v>4.0999999999999996</v>
      </c>
      <c r="G14" s="12">
        <v>13</v>
      </c>
      <c r="H14" s="8">
        <v>2.5099999999999998</v>
      </c>
      <c r="I14" s="12">
        <v>0</v>
      </c>
    </row>
    <row r="15" spans="2:9" ht="15" customHeight="1" x14ac:dyDescent="0.15">
      <c r="B15" t="s">
        <v>61</v>
      </c>
      <c r="C15" s="12">
        <v>158</v>
      </c>
      <c r="D15" s="8">
        <v>10.53</v>
      </c>
      <c r="E15" s="12">
        <v>145</v>
      </c>
      <c r="F15" s="8">
        <v>14.86</v>
      </c>
      <c r="G15" s="12">
        <v>12</v>
      </c>
      <c r="H15" s="8">
        <v>2.3199999999999998</v>
      </c>
      <c r="I15" s="12">
        <v>1</v>
      </c>
    </row>
    <row r="16" spans="2:9" ht="15" customHeight="1" x14ac:dyDescent="0.15">
      <c r="B16" t="s">
        <v>62</v>
      </c>
      <c r="C16" s="12">
        <v>162</v>
      </c>
      <c r="D16" s="8">
        <v>10.8</v>
      </c>
      <c r="E16" s="12">
        <v>131</v>
      </c>
      <c r="F16" s="8">
        <v>13.42</v>
      </c>
      <c r="G16" s="12">
        <v>31</v>
      </c>
      <c r="H16" s="8">
        <v>5.98</v>
      </c>
      <c r="I16" s="12">
        <v>0</v>
      </c>
    </row>
    <row r="17" spans="2:9" ht="15" customHeight="1" x14ac:dyDescent="0.15">
      <c r="B17" t="s">
        <v>63</v>
      </c>
      <c r="C17" s="12">
        <v>42</v>
      </c>
      <c r="D17" s="8">
        <v>2.8</v>
      </c>
      <c r="E17" s="12">
        <v>34</v>
      </c>
      <c r="F17" s="8">
        <v>3.48</v>
      </c>
      <c r="G17" s="12">
        <v>8</v>
      </c>
      <c r="H17" s="8">
        <v>1.54</v>
      </c>
      <c r="I17" s="12">
        <v>0</v>
      </c>
    </row>
    <row r="18" spans="2:9" ht="15" customHeight="1" x14ac:dyDescent="0.15">
      <c r="B18" t="s">
        <v>64</v>
      </c>
      <c r="C18" s="12">
        <v>33</v>
      </c>
      <c r="D18" s="8">
        <v>2.2000000000000002</v>
      </c>
      <c r="E18" s="12">
        <v>24</v>
      </c>
      <c r="F18" s="8">
        <v>2.46</v>
      </c>
      <c r="G18" s="12">
        <v>7</v>
      </c>
      <c r="H18" s="8">
        <v>1.35</v>
      </c>
      <c r="I18" s="12">
        <v>2</v>
      </c>
    </row>
    <row r="19" spans="2:9" ht="15" customHeight="1" x14ac:dyDescent="0.15">
      <c r="B19" t="s">
        <v>65</v>
      </c>
      <c r="C19" s="12">
        <v>48</v>
      </c>
      <c r="D19" s="8">
        <v>3.2</v>
      </c>
      <c r="E19" s="12">
        <v>20</v>
      </c>
      <c r="F19" s="8">
        <v>2.0499999999999998</v>
      </c>
      <c r="G19" s="12">
        <v>26</v>
      </c>
      <c r="H19" s="8">
        <v>5.0199999999999996</v>
      </c>
      <c r="I19" s="12">
        <v>2</v>
      </c>
    </row>
    <row r="20" spans="2:9" ht="15" customHeight="1" x14ac:dyDescent="0.15">
      <c r="B20" s="9" t="s">
        <v>215</v>
      </c>
      <c r="C20" s="12">
        <f>SUM(LTBL_28213[総数／事業所数])</f>
        <v>1500</v>
      </c>
      <c r="E20" s="12">
        <f>SUBTOTAL(109,LTBL_28213[個人／事業所数])</f>
        <v>976</v>
      </c>
      <c r="G20" s="12">
        <f>SUBTOTAL(109,LTBL_28213[法人／事業所数])</f>
        <v>518</v>
      </c>
      <c r="I20" s="12">
        <f>SUBTOTAL(109,LTBL_28213[法人以外の団体／事業所数])</f>
        <v>6</v>
      </c>
    </row>
    <row r="21" spans="2:9" ht="15" customHeight="1" x14ac:dyDescent="0.15">
      <c r="E21" s="11">
        <f>LTBL_28213[[#Totals],[個人／事業所数]]/LTBL_28213[[#Totals],[総数／事業所数]]</f>
        <v>0.65066666666666662</v>
      </c>
      <c r="G21" s="11">
        <f>LTBL_28213[[#Totals],[法人／事業所数]]/LTBL_28213[[#Totals],[総数／事業所数]]</f>
        <v>0.34533333333333333</v>
      </c>
      <c r="I21" s="11">
        <f>LTBL_28213[[#Totals],[法人以外の団体／事業所数]]/LTBL_28213[[#Totals],[総数／事業所数]]</f>
        <v>4.0000000000000001E-3</v>
      </c>
    </row>
    <row r="23" spans="2:9" ht="33" customHeight="1" x14ac:dyDescent="0.15">
      <c r="B23" t="s">
        <v>214</v>
      </c>
      <c r="C23" s="10" t="s">
        <v>67</v>
      </c>
      <c r="D23" s="10" t="s">
        <v>221</v>
      </c>
      <c r="E23" s="10" t="s">
        <v>69</v>
      </c>
      <c r="F23" s="10" t="s">
        <v>222</v>
      </c>
      <c r="G23" s="10" t="s">
        <v>71</v>
      </c>
      <c r="H23" s="10" t="s">
        <v>307</v>
      </c>
      <c r="I23" s="10" t="s">
        <v>73</v>
      </c>
    </row>
    <row r="24" spans="2:9" ht="15" customHeight="1" x14ac:dyDescent="0.15">
      <c r="B24" t="s">
        <v>217</v>
      </c>
      <c r="C24">
        <v>4</v>
      </c>
      <c r="D24" t="s">
        <v>216</v>
      </c>
      <c r="E24">
        <v>0</v>
      </c>
      <c r="F24" t="s">
        <v>218</v>
      </c>
      <c r="G24">
        <v>4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275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110</v>
      </c>
      <c r="C29" s="12">
        <v>205</v>
      </c>
      <c r="D29" s="8">
        <v>13.67</v>
      </c>
      <c r="E29" s="12">
        <v>129</v>
      </c>
      <c r="F29" s="8">
        <v>13.22</v>
      </c>
      <c r="G29" s="12">
        <v>76</v>
      </c>
      <c r="H29" s="8">
        <v>14.67</v>
      </c>
      <c r="I29" s="12">
        <v>0</v>
      </c>
    </row>
    <row r="30" spans="2:9" ht="15" customHeight="1" x14ac:dyDescent="0.15">
      <c r="B30" t="s">
        <v>89</v>
      </c>
      <c r="C30" s="12">
        <v>154</v>
      </c>
      <c r="D30" s="8">
        <v>10.27</v>
      </c>
      <c r="E30" s="12">
        <v>144</v>
      </c>
      <c r="F30" s="8">
        <v>14.75</v>
      </c>
      <c r="G30" s="12">
        <v>9</v>
      </c>
      <c r="H30" s="8">
        <v>1.74</v>
      </c>
      <c r="I30" s="12">
        <v>1</v>
      </c>
    </row>
    <row r="31" spans="2:9" ht="15" customHeight="1" x14ac:dyDescent="0.15">
      <c r="B31" t="s">
        <v>90</v>
      </c>
      <c r="C31" s="12">
        <v>142</v>
      </c>
      <c r="D31" s="8">
        <v>9.4700000000000006</v>
      </c>
      <c r="E31" s="12">
        <v>124</v>
      </c>
      <c r="F31" s="8">
        <v>12.7</v>
      </c>
      <c r="G31" s="12">
        <v>18</v>
      </c>
      <c r="H31" s="8">
        <v>3.47</v>
      </c>
      <c r="I31" s="12">
        <v>0</v>
      </c>
    </row>
    <row r="32" spans="2:9" ht="15" customHeight="1" x14ac:dyDescent="0.15">
      <c r="B32" t="s">
        <v>84</v>
      </c>
      <c r="C32" s="12">
        <v>124</v>
      </c>
      <c r="D32" s="8">
        <v>8.27</v>
      </c>
      <c r="E32" s="12">
        <v>75</v>
      </c>
      <c r="F32" s="8">
        <v>7.68</v>
      </c>
      <c r="G32" s="12">
        <v>49</v>
      </c>
      <c r="H32" s="8">
        <v>9.4600000000000009</v>
      </c>
      <c r="I32" s="12">
        <v>0</v>
      </c>
    </row>
    <row r="33" spans="2:9" ht="15" customHeight="1" x14ac:dyDescent="0.15">
      <c r="B33" t="s">
        <v>74</v>
      </c>
      <c r="C33" s="12">
        <v>83</v>
      </c>
      <c r="D33" s="8">
        <v>5.53</v>
      </c>
      <c r="E33" s="12">
        <v>34</v>
      </c>
      <c r="F33" s="8">
        <v>3.48</v>
      </c>
      <c r="G33" s="12">
        <v>49</v>
      </c>
      <c r="H33" s="8">
        <v>9.4600000000000009</v>
      </c>
      <c r="I33" s="12">
        <v>0</v>
      </c>
    </row>
    <row r="34" spans="2:9" ht="15" customHeight="1" x14ac:dyDescent="0.15">
      <c r="B34" t="s">
        <v>83</v>
      </c>
      <c r="C34" s="12">
        <v>69</v>
      </c>
      <c r="D34" s="8">
        <v>4.5999999999999996</v>
      </c>
      <c r="E34" s="12">
        <v>46</v>
      </c>
      <c r="F34" s="8">
        <v>4.71</v>
      </c>
      <c r="G34" s="12">
        <v>23</v>
      </c>
      <c r="H34" s="8">
        <v>4.4400000000000004</v>
      </c>
      <c r="I34" s="12">
        <v>0</v>
      </c>
    </row>
    <row r="35" spans="2:9" ht="15" customHeight="1" x14ac:dyDescent="0.15">
      <c r="B35" t="s">
        <v>75</v>
      </c>
      <c r="C35" s="12">
        <v>67</v>
      </c>
      <c r="D35" s="8">
        <v>4.47</v>
      </c>
      <c r="E35" s="12">
        <v>46</v>
      </c>
      <c r="F35" s="8">
        <v>4.71</v>
      </c>
      <c r="G35" s="12">
        <v>21</v>
      </c>
      <c r="H35" s="8">
        <v>4.05</v>
      </c>
      <c r="I35" s="12">
        <v>0</v>
      </c>
    </row>
    <row r="36" spans="2:9" ht="15" customHeight="1" x14ac:dyDescent="0.15">
      <c r="B36" t="s">
        <v>82</v>
      </c>
      <c r="C36" s="12">
        <v>44</v>
      </c>
      <c r="D36" s="8">
        <v>2.93</v>
      </c>
      <c r="E36" s="12">
        <v>40</v>
      </c>
      <c r="F36" s="8">
        <v>4.0999999999999996</v>
      </c>
      <c r="G36" s="12">
        <v>4</v>
      </c>
      <c r="H36" s="8">
        <v>0.77</v>
      </c>
      <c r="I36" s="12">
        <v>0</v>
      </c>
    </row>
    <row r="37" spans="2:9" ht="15" customHeight="1" x14ac:dyDescent="0.15">
      <c r="B37" t="s">
        <v>92</v>
      </c>
      <c r="C37" s="12">
        <v>42</v>
      </c>
      <c r="D37" s="8">
        <v>2.8</v>
      </c>
      <c r="E37" s="12">
        <v>34</v>
      </c>
      <c r="F37" s="8">
        <v>3.48</v>
      </c>
      <c r="G37" s="12">
        <v>8</v>
      </c>
      <c r="H37" s="8">
        <v>1.54</v>
      </c>
      <c r="I37" s="12">
        <v>0</v>
      </c>
    </row>
    <row r="38" spans="2:9" ht="15" customHeight="1" x14ac:dyDescent="0.15">
      <c r="B38" t="s">
        <v>81</v>
      </c>
      <c r="C38" s="12">
        <v>41</v>
      </c>
      <c r="D38" s="8">
        <v>2.73</v>
      </c>
      <c r="E38" s="12">
        <v>26</v>
      </c>
      <c r="F38" s="8">
        <v>2.66</v>
      </c>
      <c r="G38" s="12">
        <v>14</v>
      </c>
      <c r="H38" s="8">
        <v>2.7</v>
      </c>
      <c r="I38" s="12">
        <v>1</v>
      </c>
    </row>
    <row r="39" spans="2:9" ht="15" customHeight="1" x14ac:dyDescent="0.15">
      <c r="B39" t="s">
        <v>86</v>
      </c>
      <c r="C39" s="12">
        <v>41</v>
      </c>
      <c r="D39" s="8">
        <v>2.73</v>
      </c>
      <c r="E39" s="12">
        <v>16</v>
      </c>
      <c r="F39" s="8">
        <v>1.64</v>
      </c>
      <c r="G39" s="12">
        <v>25</v>
      </c>
      <c r="H39" s="8">
        <v>4.83</v>
      </c>
      <c r="I39" s="12">
        <v>0</v>
      </c>
    </row>
    <row r="40" spans="2:9" ht="15" customHeight="1" x14ac:dyDescent="0.15">
      <c r="B40" t="s">
        <v>76</v>
      </c>
      <c r="C40" s="12">
        <v>38</v>
      </c>
      <c r="D40" s="8">
        <v>2.5299999999999998</v>
      </c>
      <c r="E40" s="12">
        <v>26</v>
      </c>
      <c r="F40" s="8">
        <v>2.66</v>
      </c>
      <c r="G40" s="12">
        <v>12</v>
      </c>
      <c r="H40" s="8">
        <v>2.3199999999999998</v>
      </c>
      <c r="I40" s="12">
        <v>0</v>
      </c>
    </row>
    <row r="41" spans="2:9" ht="15" customHeight="1" x14ac:dyDescent="0.15">
      <c r="B41" t="s">
        <v>87</v>
      </c>
      <c r="C41" s="12">
        <v>33</v>
      </c>
      <c r="D41" s="8">
        <v>2.2000000000000002</v>
      </c>
      <c r="E41" s="12">
        <v>28</v>
      </c>
      <c r="F41" s="8">
        <v>2.87</v>
      </c>
      <c r="G41" s="12">
        <v>5</v>
      </c>
      <c r="H41" s="8">
        <v>0.97</v>
      </c>
      <c r="I41" s="12">
        <v>0</v>
      </c>
    </row>
    <row r="42" spans="2:9" ht="15" customHeight="1" x14ac:dyDescent="0.15">
      <c r="B42" t="s">
        <v>112</v>
      </c>
      <c r="C42" s="12">
        <v>31</v>
      </c>
      <c r="D42" s="8">
        <v>2.0699999999999998</v>
      </c>
      <c r="E42" s="12">
        <v>22</v>
      </c>
      <c r="F42" s="8">
        <v>2.25</v>
      </c>
      <c r="G42" s="12">
        <v>9</v>
      </c>
      <c r="H42" s="8">
        <v>1.74</v>
      </c>
      <c r="I42" s="12">
        <v>0</v>
      </c>
    </row>
    <row r="43" spans="2:9" ht="15" customHeight="1" x14ac:dyDescent="0.15">
      <c r="B43" t="s">
        <v>77</v>
      </c>
      <c r="C43" s="12">
        <v>28</v>
      </c>
      <c r="D43" s="8">
        <v>1.87</v>
      </c>
      <c r="E43" s="12">
        <v>19</v>
      </c>
      <c r="F43" s="8">
        <v>1.95</v>
      </c>
      <c r="G43" s="12">
        <v>9</v>
      </c>
      <c r="H43" s="8">
        <v>1.74</v>
      </c>
      <c r="I43" s="12">
        <v>0</v>
      </c>
    </row>
    <row r="44" spans="2:9" ht="15" customHeight="1" x14ac:dyDescent="0.15">
      <c r="B44" t="s">
        <v>102</v>
      </c>
      <c r="C44" s="12">
        <v>25</v>
      </c>
      <c r="D44" s="8">
        <v>1.67</v>
      </c>
      <c r="E44" s="12">
        <v>15</v>
      </c>
      <c r="F44" s="8">
        <v>1.54</v>
      </c>
      <c r="G44" s="12">
        <v>10</v>
      </c>
      <c r="H44" s="8">
        <v>1.93</v>
      </c>
      <c r="I44" s="12">
        <v>0</v>
      </c>
    </row>
    <row r="45" spans="2:9" ht="15" customHeight="1" x14ac:dyDescent="0.15">
      <c r="B45" t="s">
        <v>93</v>
      </c>
      <c r="C45" s="12">
        <v>25</v>
      </c>
      <c r="D45" s="8">
        <v>1.67</v>
      </c>
      <c r="E45" s="12">
        <v>24</v>
      </c>
      <c r="F45" s="8">
        <v>2.46</v>
      </c>
      <c r="G45" s="12">
        <v>1</v>
      </c>
      <c r="H45" s="8">
        <v>0.19</v>
      </c>
      <c r="I45" s="12">
        <v>0</v>
      </c>
    </row>
    <row r="46" spans="2:9" ht="15" customHeight="1" x14ac:dyDescent="0.15">
      <c r="B46" t="s">
        <v>78</v>
      </c>
      <c r="C46" s="12">
        <v>24</v>
      </c>
      <c r="D46" s="8">
        <v>1.6</v>
      </c>
      <c r="E46" s="12">
        <v>2</v>
      </c>
      <c r="F46" s="8">
        <v>0.2</v>
      </c>
      <c r="G46" s="12">
        <v>22</v>
      </c>
      <c r="H46" s="8">
        <v>4.25</v>
      </c>
      <c r="I46" s="12">
        <v>0</v>
      </c>
    </row>
    <row r="47" spans="2:9" ht="15" customHeight="1" x14ac:dyDescent="0.15">
      <c r="B47" t="s">
        <v>106</v>
      </c>
      <c r="C47" s="12">
        <v>21</v>
      </c>
      <c r="D47" s="8">
        <v>1.4</v>
      </c>
      <c r="E47" s="12">
        <v>14</v>
      </c>
      <c r="F47" s="8">
        <v>1.43</v>
      </c>
      <c r="G47" s="12">
        <v>7</v>
      </c>
      <c r="H47" s="8">
        <v>1.35</v>
      </c>
      <c r="I47" s="12">
        <v>0</v>
      </c>
    </row>
    <row r="48" spans="2:9" ht="15" customHeight="1" x14ac:dyDescent="0.15">
      <c r="B48" t="s">
        <v>80</v>
      </c>
      <c r="C48" s="12">
        <v>19</v>
      </c>
      <c r="D48" s="8">
        <v>1.27</v>
      </c>
      <c r="E48" s="12">
        <v>12</v>
      </c>
      <c r="F48" s="8">
        <v>1.23</v>
      </c>
      <c r="G48" s="12">
        <v>7</v>
      </c>
      <c r="H48" s="8">
        <v>1.35</v>
      </c>
      <c r="I48" s="12">
        <v>0</v>
      </c>
    </row>
    <row r="51" spans="2:9" ht="33" customHeight="1" x14ac:dyDescent="0.15">
      <c r="B51" t="s">
        <v>308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173</v>
      </c>
      <c r="C52" s="12">
        <v>84</v>
      </c>
      <c r="D52" s="8">
        <v>5.6</v>
      </c>
      <c r="E52" s="12">
        <v>43</v>
      </c>
      <c r="F52" s="8">
        <v>4.41</v>
      </c>
      <c r="G52" s="12">
        <v>41</v>
      </c>
      <c r="H52" s="8">
        <v>7.92</v>
      </c>
      <c r="I52" s="12">
        <v>0</v>
      </c>
    </row>
    <row r="53" spans="2:9" ht="15" customHeight="1" x14ac:dyDescent="0.15">
      <c r="B53" t="s">
        <v>141</v>
      </c>
      <c r="C53" s="12">
        <v>63</v>
      </c>
      <c r="D53" s="8">
        <v>4.2</v>
      </c>
      <c r="E53" s="12">
        <v>55</v>
      </c>
      <c r="F53" s="8">
        <v>5.64</v>
      </c>
      <c r="G53" s="12">
        <v>8</v>
      </c>
      <c r="H53" s="8">
        <v>1.54</v>
      </c>
      <c r="I53" s="12">
        <v>0</v>
      </c>
    </row>
    <row r="54" spans="2:9" ht="15" customHeight="1" x14ac:dyDescent="0.15">
      <c r="B54" t="s">
        <v>140</v>
      </c>
      <c r="C54" s="12">
        <v>54</v>
      </c>
      <c r="D54" s="8">
        <v>3.6</v>
      </c>
      <c r="E54" s="12">
        <v>54</v>
      </c>
      <c r="F54" s="8">
        <v>5.53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175</v>
      </c>
      <c r="C55" s="12">
        <v>41</v>
      </c>
      <c r="D55" s="8">
        <v>2.73</v>
      </c>
      <c r="E55" s="12">
        <v>24</v>
      </c>
      <c r="F55" s="8">
        <v>2.46</v>
      </c>
      <c r="G55" s="12">
        <v>17</v>
      </c>
      <c r="H55" s="8">
        <v>3.28</v>
      </c>
      <c r="I55" s="12">
        <v>0</v>
      </c>
    </row>
    <row r="56" spans="2:9" ht="15" customHeight="1" x14ac:dyDescent="0.15">
      <c r="B56" t="s">
        <v>130</v>
      </c>
      <c r="C56" s="12">
        <v>39</v>
      </c>
      <c r="D56" s="8">
        <v>2.6</v>
      </c>
      <c r="E56" s="12">
        <v>26</v>
      </c>
      <c r="F56" s="8">
        <v>2.66</v>
      </c>
      <c r="G56" s="12">
        <v>13</v>
      </c>
      <c r="H56" s="8">
        <v>2.5099999999999998</v>
      </c>
      <c r="I56" s="12">
        <v>0</v>
      </c>
    </row>
    <row r="57" spans="2:9" ht="15" customHeight="1" x14ac:dyDescent="0.15">
      <c r="B57" t="s">
        <v>132</v>
      </c>
      <c r="C57" s="12">
        <v>38</v>
      </c>
      <c r="D57" s="8">
        <v>2.5299999999999998</v>
      </c>
      <c r="E57" s="12">
        <v>31</v>
      </c>
      <c r="F57" s="8">
        <v>3.18</v>
      </c>
      <c r="G57" s="12">
        <v>7</v>
      </c>
      <c r="H57" s="8">
        <v>1.35</v>
      </c>
      <c r="I57" s="12">
        <v>0</v>
      </c>
    </row>
    <row r="58" spans="2:9" ht="15" customHeight="1" x14ac:dyDescent="0.15">
      <c r="B58" t="s">
        <v>135</v>
      </c>
      <c r="C58" s="12">
        <v>36</v>
      </c>
      <c r="D58" s="8">
        <v>2.4</v>
      </c>
      <c r="E58" s="12">
        <v>33</v>
      </c>
      <c r="F58" s="8">
        <v>3.38</v>
      </c>
      <c r="G58" s="12">
        <v>3</v>
      </c>
      <c r="H58" s="8">
        <v>0.57999999999999996</v>
      </c>
      <c r="I58" s="12">
        <v>0</v>
      </c>
    </row>
    <row r="59" spans="2:9" ht="15" customHeight="1" x14ac:dyDescent="0.15">
      <c r="B59" t="s">
        <v>125</v>
      </c>
      <c r="C59" s="12">
        <v>32</v>
      </c>
      <c r="D59" s="8">
        <v>2.13</v>
      </c>
      <c r="E59" s="12">
        <v>10</v>
      </c>
      <c r="F59" s="8">
        <v>1.02</v>
      </c>
      <c r="G59" s="12">
        <v>22</v>
      </c>
      <c r="H59" s="8">
        <v>4.25</v>
      </c>
      <c r="I59" s="12">
        <v>0</v>
      </c>
    </row>
    <row r="60" spans="2:9" ht="15" customHeight="1" x14ac:dyDescent="0.15">
      <c r="B60" t="s">
        <v>174</v>
      </c>
      <c r="C60" s="12">
        <v>31</v>
      </c>
      <c r="D60" s="8">
        <v>2.0699999999999998</v>
      </c>
      <c r="E60" s="12">
        <v>29</v>
      </c>
      <c r="F60" s="8">
        <v>2.97</v>
      </c>
      <c r="G60" s="12">
        <v>2</v>
      </c>
      <c r="H60" s="8">
        <v>0.39</v>
      </c>
      <c r="I60" s="12">
        <v>0</v>
      </c>
    </row>
    <row r="61" spans="2:9" ht="15" customHeight="1" x14ac:dyDescent="0.15">
      <c r="B61" t="s">
        <v>127</v>
      </c>
      <c r="C61" s="12">
        <v>30</v>
      </c>
      <c r="D61" s="8">
        <v>2</v>
      </c>
      <c r="E61" s="12">
        <v>22</v>
      </c>
      <c r="F61" s="8">
        <v>2.25</v>
      </c>
      <c r="G61" s="12">
        <v>8</v>
      </c>
      <c r="H61" s="8">
        <v>1.54</v>
      </c>
      <c r="I61" s="12">
        <v>0</v>
      </c>
    </row>
    <row r="62" spans="2:9" ht="15" customHeight="1" x14ac:dyDescent="0.15">
      <c r="B62" t="s">
        <v>136</v>
      </c>
      <c r="C62" s="12">
        <v>26</v>
      </c>
      <c r="D62" s="8">
        <v>1.73</v>
      </c>
      <c r="E62" s="12">
        <v>24</v>
      </c>
      <c r="F62" s="8">
        <v>2.46</v>
      </c>
      <c r="G62" s="12">
        <v>2</v>
      </c>
      <c r="H62" s="8">
        <v>0.39</v>
      </c>
      <c r="I62" s="12">
        <v>0</v>
      </c>
    </row>
    <row r="63" spans="2:9" ht="15" customHeight="1" x14ac:dyDescent="0.15">
      <c r="B63" t="s">
        <v>138</v>
      </c>
      <c r="C63" s="12">
        <v>26</v>
      </c>
      <c r="D63" s="8">
        <v>1.73</v>
      </c>
      <c r="E63" s="12">
        <v>24</v>
      </c>
      <c r="F63" s="8">
        <v>2.46</v>
      </c>
      <c r="G63" s="12">
        <v>2</v>
      </c>
      <c r="H63" s="8">
        <v>0.39</v>
      </c>
      <c r="I63" s="12">
        <v>0</v>
      </c>
    </row>
    <row r="64" spans="2:9" ht="15" customHeight="1" x14ac:dyDescent="0.15">
      <c r="B64" t="s">
        <v>176</v>
      </c>
      <c r="C64" s="12">
        <v>25</v>
      </c>
      <c r="D64" s="8">
        <v>1.67</v>
      </c>
      <c r="E64" s="12">
        <v>18</v>
      </c>
      <c r="F64" s="8">
        <v>1.84</v>
      </c>
      <c r="G64" s="12">
        <v>7</v>
      </c>
      <c r="H64" s="8">
        <v>1.35</v>
      </c>
      <c r="I64" s="12">
        <v>0</v>
      </c>
    </row>
    <row r="65" spans="2:9" ht="15" customHeight="1" x14ac:dyDescent="0.15">
      <c r="B65" t="s">
        <v>159</v>
      </c>
      <c r="C65" s="12">
        <v>25</v>
      </c>
      <c r="D65" s="8">
        <v>1.67</v>
      </c>
      <c r="E65" s="12">
        <v>15</v>
      </c>
      <c r="F65" s="8">
        <v>1.54</v>
      </c>
      <c r="G65" s="12">
        <v>10</v>
      </c>
      <c r="H65" s="8">
        <v>1.93</v>
      </c>
      <c r="I65" s="12">
        <v>0</v>
      </c>
    </row>
    <row r="66" spans="2:9" ht="15" customHeight="1" x14ac:dyDescent="0.15">
      <c r="B66" t="s">
        <v>131</v>
      </c>
      <c r="C66" s="12">
        <v>24</v>
      </c>
      <c r="D66" s="8">
        <v>1.6</v>
      </c>
      <c r="E66" s="12">
        <v>12</v>
      </c>
      <c r="F66" s="8">
        <v>1.23</v>
      </c>
      <c r="G66" s="12">
        <v>12</v>
      </c>
      <c r="H66" s="8">
        <v>2.3199999999999998</v>
      </c>
      <c r="I66" s="12">
        <v>0</v>
      </c>
    </row>
    <row r="67" spans="2:9" ht="15" customHeight="1" x14ac:dyDescent="0.15">
      <c r="B67" t="s">
        <v>137</v>
      </c>
      <c r="C67" s="12">
        <v>22</v>
      </c>
      <c r="D67" s="8">
        <v>1.47</v>
      </c>
      <c r="E67" s="12">
        <v>22</v>
      </c>
      <c r="F67" s="8">
        <v>2.25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126</v>
      </c>
      <c r="C68" s="12">
        <v>21</v>
      </c>
      <c r="D68" s="8">
        <v>1.4</v>
      </c>
      <c r="E68" s="12">
        <v>9</v>
      </c>
      <c r="F68" s="8">
        <v>0.92</v>
      </c>
      <c r="G68" s="12">
        <v>12</v>
      </c>
      <c r="H68" s="8">
        <v>2.3199999999999998</v>
      </c>
      <c r="I68" s="12">
        <v>0</v>
      </c>
    </row>
    <row r="69" spans="2:9" ht="15" customHeight="1" x14ac:dyDescent="0.15">
      <c r="B69" t="s">
        <v>142</v>
      </c>
      <c r="C69" s="12">
        <v>21</v>
      </c>
      <c r="D69" s="8">
        <v>1.4</v>
      </c>
      <c r="E69" s="12">
        <v>18</v>
      </c>
      <c r="F69" s="8">
        <v>1.84</v>
      </c>
      <c r="G69" s="12">
        <v>3</v>
      </c>
      <c r="H69" s="8">
        <v>0.57999999999999996</v>
      </c>
      <c r="I69" s="12">
        <v>0</v>
      </c>
    </row>
    <row r="70" spans="2:9" ht="15" customHeight="1" x14ac:dyDescent="0.15">
      <c r="B70" t="s">
        <v>166</v>
      </c>
      <c r="C70" s="12">
        <v>21</v>
      </c>
      <c r="D70" s="8">
        <v>1.4</v>
      </c>
      <c r="E70" s="12">
        <v>14</v>
      </c>
      <c r="F70" s="8">
        <v>1.43</v>
      </c>
      <c r="G70" s="12">
        <v>7</v>
      </c>
      <c r="H70" s="8">
        <v>1.35</v>
      </c>
      <c r="I70" s="12">
        <v>0</v>
      </c>
    </row>
    <row r="71" spans="2:9" ht="15" customHeight="1" x14ac:dyDescent="0.15">
      <c r="B71" t="s">
        <v>134</v>
      </c>
      <c r="C71" s="12">
        <v>20</v>
      </c>
      <c r="D71" s="8">
        <v>1.33</v>
      </c>
      <c r="E71" s="12">
        <v>11</v>
      </c>
      <c r="F71" s="8">
        <v>1.1299999999999999</v>
      </c>
      <c r="G71" s="12">
        <v>9</v>
      </c>
      <c r="H71" s="8">
        <v>1.74</v>
      </c>
      <c r="I71" s="12">
        <v>0</v>
      </c>
    </row>
    <row r="72" spans="2:9" ht="15" customHeight="1" x14ac:dyDescent="0.15">
      <c r="B72" t="s">
        <v>143</v>
      </c>
      <c r="C72" s="12">
        <v>20</v>
      </c>
      <c r="D72" s="8">
        <v>1.33</v>
      </c>
      <c r="E72" s="12">
        <v>16</v>
      </c>
      <c r="F72" s="8">
        <v>1.64</v>
      </c>
      <c r="G72" s="12">
        <v>4</v>
      </c>
      <c r="H72" s="8">
        <v>0.77</v>
      </c>
      <c r="I72" s="12">
        <v>0</v>
      </c>
    </row>
    <row r="74" spans="2:9" ht="15" customHeight="1" x14ac:dyDescent="0.15">
      <c r="B74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309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361</v>
      </c>
      <c r="D6" s="8">
        <v>11.91</v>
      </c>
      <c r="E6" s="12">
        <v>88</v>
      </c>
      <c r="F6" s="8">
        <v>5.56</v>
      </c>
      <c r="G6" s="12">
        <v>273</v>
      </c>
      <c r="H6" s="8">
        <v>18.96</v>
      </c>
      <c r="I6" s="12">
        <v>0</v>
      </c>
    </row>
    <row r="7" spans="2:9" ht="15" customHeight="1" x14ac:dyDescent="0.15">
      <c r="B7" t="s">
        <v>53</v>
      </c>
      <c r="C7" s="12">
        <v>93</v>
      </c>
      <c r="D7" s="8">
        <v>3.07</v>
      </c>
      <c r="E7" s="12">
        <v>35</v>
      </c>
      <c r="F7" s="8">
        <v>2.21</v>
      </c>
      <c r="G7" s="12">
        <v>58</v>
      </c>
      <c r="H7" s="8">
        <v>4.03</v>
      </c>
      <c r="I7" s="12">
        <v>0</v>
      </c>
    </row>
    <row r="8" spans="2:9" ht="15" customHeight="1" x14ac:dyDescent="0.15">
      <c r="B8" t="s">
        <v>54</v>
      </c>
      <c r="C8" s="12">
        <v>1</v>
      </c>
      <c r="D8" s="8">
        <v>0.03</v>
      </c>
      <c r="E8" s="12">
        <v>1</v>
      </c>
      <c r="F8" s="8">
        <v>0.06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29</v>
      </c>
      <c r="D9" s="8">
        <v>0.96</v>
      </c>
      <c r="E9" s="12">
        <v>3</v>
      </c>
      <c r="F9" s="8">
        <v>0.19</v>
      </c>
      <c r="G9" s="12">
        <v>25</v>
      </c>
      <c r="H9" s="8">
        <v>1.74</v>
      </c>
      <c r="I9" s="12">
        <v>1</v>
      </c>
    </row>
    <row r="10" spans="2:9" ht="15" customHeight="1" x14ac:dyDescent="0.15">
      <c r="B10" t="s">
        <v>56</v>
      </c>
      <c r="C10" s="12">
        <v>13</v>
      </c>
      <c r="D10" s="8">
        <v>0.43</v>
      </c>
      <c r="E10" s="12">
        <v>1</v>
      </c>
      <c r="F10" s="8">
        <v>0.06</v>
      </c>
      <c r="G10" s="12">
        <v>11</v>
      </c>
      <c r="H10" s="8">
        <v>0.76</v>
      </c>
      <c r="I10" s="12">
        <v>1</v>
      </c>
    </row>
    <row r="11" spans="2:9" ht="15" customHeight="1" x14ac:dyDescent="0.15">
      <c r="B11" t="s">
        <v>57</v>
      </c>
      <c r="C11" s="12">
        <v>765</v>
      </c>
      <c r="D11" s="8">
        <v>25.25</v>
      </c>
      <c r="E11" s="12">
        <v>395</v>
      </c>
      <c r="F11" s="8">
        <v>24.95</v>
      </c>
      <c r="G11" s="12">
        <v>370</v>
      </c>
      <c r="H11" s="8">
        <v>25.69</v>
      </c>
      <c r="I11" s="12">
        <v>0</v>
      </c>
    </row>
    <row r="12" spans="2:9" ht="15" customHeight="1" x14ac:dyDescent="0.15">
      <c r="B12" t="s">
        <v>58</v>
      </c>
      <c r="C12" s="12">
        <v>19</v>
      </c>
      <c r="D12" s="8">
        <v>0.63</v>
      </c>
      <c r="E12" s="12">
        <v>1</v>
      </c>
      <c r="F12" s="8">
        <v>0.06</v>
      </c>
      <c r="G12" s="12">
        <v>18</v>
      </c>
      <c r="H12" s="8">
        <v>1.25</v>
      </c>
      <c r="I12" s="12">
        <v>0</v>
      </c>
    </row>
    <row r="13" spans="2:9" ht="15" customHeight="1" x14ac:dyDescent="0.15">
      <c r="B13" t="s">
        <v>59</v>
      </c>
      <c r="C13" s="12">
        <v>404</v>
      </c>
      <c r="D13" s="8">
        <v>13.33</v>
      </c>
      <c r="E13" s="12">
        <v>109</v>
      </c>
      <c r="F13" s="8">
        <v>6.89</v>
      </c>
      <c r="G13" s="12">
        <v>294</v>
      </c>
      <c r="H13" s="8">
        <v>20.420000000000002</v>
      </c>
      <c r="I13" s="12">
        <v>1</v>
      </c>
    </row>
    <row r="14" spans="2:9" ht="15" customHeight="1" x14ac:dyDescent="0.15">
      <c r="B14" t="s">
        <v>60</v>
      </c>
      <c r="C14" s="12">
        <v>157</v>
      </c>
      <c r="D14" s="8">
        <v>5.18</v>
      </c>
      <c r="E14" s="12">
        <v>88</v>
      </c>
      <c r="F14" s="8">
        <v>5.56</v>
      </c>
      <c r="G14" s="12">
        <v>69</v>
      </c>
      <c r="H14" s="8">
        <v>4.79</v>
      </c>
      <c r="I14" s="12">
        <v>0</v>
      </c>
    </row>
    <row r="15" spans="2:9" ht="15" customHeight="1" x14ac:dyDescent="0.15">
      <c r="B15" t="s">
        <v>61</v>
      </c>
      <c r="C15" s="12">
        <v>377</v>
      </c>
      <c r="D15" s="8">
        <v>12.44</v>
      </c>
      <c r="E15" s="12">
        <v>319</v>
      </c>
      <c r="F15" s="8">
        <v>20.149999999999999</v>
      </c>
      <c r="G15" s="12">
        <v>58</v>
      </c>
      <c r="H15" s="8">
        <v>4.03</v>
      </c>
      <c r="I15" s="12">
        <v>0</v>
      </c>
    </row>
    <row r="16" spans="2:9" ht="15" customHeight="1" x14ac:dyDescent="0.15">
      <c r="B16" t="s">
        <v>62</v>
      </c>
      <c r="C16" s="12">
        <v>365</v>
      </c>
      <c r="D16" s="8">
        <v>12.05</v>
      </c>
      <c r="E16" s="12">
        <v>272</v>
      </c>
      <c r="F16" s="8">
        <v>17.18</v>
      </c>
      <c r="G16" s="12">
        <v>93</v>
      </c>
      <c r="H16" s="8">
        <v>6.46</v>
      </c>
      <c r="I16" s="12">
        <v>0</v>
      </c>
    </row>
    <row r="17" spans="2:9" ht="15" customHeight="1" x14ac:dyDescent="0.15">
      <c r="B17" t="s">
        <v>63</v>
      </c>
      <c r="C17" s="12">
        <v>165</v>
      </c>
      <c r="D17" s="8">
        <v>5.45</v>
      </c>
      <c r="E17" s="12">
        <v>115</v>
      </c>
      <c r="F17" s="8">
        <v>7.26</v>
      </c>
      <c r="G17" s="12">
        <v>50</v>
      </c>
      <c r="H17" s="8">
        <v>3.47</v>
      </c>
      <c r="I17" s="12">
        <v>0</v>
      </c>
    </row>
    <row r="18" spans="2:9" ht="15" customHeight="1" x14ac:dyDescent="0.15">
      <c r="B18" t="s">
        <v>64</v>
      </c>
      <c r="C18" s="12">
        <v>194</v>
      </c>
      <c r="D18" s="8">
        <v>6.4</v>
      </c>
      <c r="E18" s="12">
        <v>128</v>
      </c>
      <c r="F18" s="8">
        <v>8.09</v>
      </c>
      <c r="G18" s="12">
        <v>66</v>
      </c>
      <c r="H18" s="8">
        <v>4.58</v>
      </c>
      <c r="I18" s="12">
        <v>0</v>
      </c>
    </row>
    <row r="19" spans="2:9" ht="15" customHeight="1" x14ac:dyDescent="0.15">
      <c r="B19" t="s">
        <v>65</v>
      </c>
      <c r="C19" s="12">
        <v>87</v>
      </c>
      <c r="D19" s="8">
        <v>2.87</v>
      </c>
      <c r="E19" s="12">
        <v>28</v>
      </c>
      <c r="F19" s="8">
        <v>1.77</v>
      </c>
      <c r="G19" s="12">
        <v>55</v>
      </c>
      <c r="H19" s="8">
        <v>3.82</v>
      </c>
      <c r="I19" s="12">
        <v>4</v>
      </c>
    </row>
    <row r="20" spans="2:9" ht="15" customHeight="1" x14ac:dyDescent="0.15">
      <c r="B20" s="9" t="s">
        <v>215</v>
      </c>
      <c r="C20" s="12">
        <f>SUM(LTBL_28214[総数／事業所数])</f>
        <v>3030</v>
      </c>
      <c r="E20" s="12">
        <f>SUBTOTAL(109,LTBL_28214[個人／事業所数])</f>
        <v>1583</v>
      </c>
      <c r="G20" s="12">
        <f>SUBTOTAL(109,LTBL_28214[法人／事業所数])</f>
        <v>1440</v>
      </c>
      <c r="I20" s="12">
        <f>SUBTOTAL(109,LTBL_28214[法人以外の団体／事業所数])</f>
        <v>7</v>
      </c>
    </row>
    <row r="21" spans="2:9" ht="15" customHeight="1" x14ac:dyDescent="0.15">
      <c r="E21" s="11">
        <f>LTBL_28214[[#Totals],[個人／事業所数]]/LTBL_28214[[#Totals],[総数／事業所数]]</f>
        <v>0.52244224422442243</v>
      </c>
      <c r="G21" s="11">
        <f>LTBL_28214[[#Totals],[法人／事業所数]]/LTBL_28214[[#Totals],[総数／事業所数]]</f>
        <v>0.47524752475247523</v>
      </c>
      <c r="I21" s="11">
        <f>LTBL_28214[[#Totals],[法人以外の団体／事業所数]]/LTBL_28214[[#Totals],[総数／事業所数]]</f>
        <v>2.3102310231023103E-3</v>
      </c>
    </row>
    <row r="23" spans="2:9" ht="33" customHeight="1" x14ac:dyDescent="0.15">
      <c r="B23" t="s">
        <v>214</v>
      </c>
      <c r="C23" s="10" t="s">
        <v>67</v>
      </c>
      <c r="D23" s="10" t="s">
        <v>221</v>
      </c>
      <c r="E23" s="10" t="s">
        <v>69</v>
      </c>
      <c r="F23" s="10" t="s">
        <v>310</v>
      </c>
      <c r="G23" s="10" t="s">
        <v>71</v>
      </c>
      <c r="H23" s="10" t="s">
        <v>223</v>
      </c>
      <c r="I23" s="10" t="s">
        <v>73</v>
      </c>
    </row>
    <row r="24" spans="2:9" ht="15" customHeight="1" x14ac:dyDescent="0.15">
      <c r="B24" t="s">
        <v>217</v>
      </c>
      <c r="C24">
        <v>17</v>
      </c>
      <c r="D24" t="s">
        <v>216</v>
      </c>
      <c r="E24">
        <v>0</v>
      </c>
      <c r="F24" t="s">
        <v>218</v>
      </c>
      <c r="G24">
        <v>17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275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89</v>
      </c>
      <c r="C29" s="12">
        <v>349</v>
      </c>
      <c r="D29" s="8">
        <v>11.52</v>
      </c>
      <c r="E29" s="12">
        <v>315</v>
      </c>
      <c r="F29" s="8">
        <v>19.899999999999999</v>
      </c>
      <c r="G29" s="12">
        <v>34</v>
      </c>
      <c r="H29" s="8">
        <v>2.36</v>
      </c>
      <c r="I29" s="12">
        <v>0</v>
      </c>
    </row>
    <row r="30" spans="2:9" ht="15" customHeight="1" x14ac:dyDescent="0.15">
      <c r="B30" t="s">
        <v>86</v>
      </c>
      <c r="C30" s="12">
        <v>327</v>
      </c>
      <c r="D30" s="8">
        <v>10.79</v>
      </c>
      <c r="E30" s="12">
        <v>92</v>
      </c>
      <c r="F30" s="8">
        <v>5.81</v>
      </c>
      <c r="G30" s="12">
        <v>234</v>
      </c>
      <c r="H30" s="8">
        <v>16.25</v>
      </c>
      <c r="I30" s="12">
        <v>1</v>
      </c>
    </row>
    <row r="31" spans="2:9" ht="15" customHeight="1" x14ac:dyDescent="0.15">
      <c r="B31" t="s">
        <v>90</v>
      </c>
      <c r="C31" s="12">
        <v>307</v>
      </c>
      <c r="D31" s="8">
        <v>10.130000000000001</v>
      </c>
      <c r="E31" s="12">
        <v>242</v>
      </c>
      <c r="F31" s="8">
        <v>15.29</v>
      </c>
      <c r="G31" s="12">
        <v>65</v>
      </c>
      <c r="H31" s="8">
        <v>4.51</v>
      </c>
      <c r="I31" s="12">
        <v>0</v>
      </c>
    </row>
    <row r="32" spans="2:9" ht="15" customHeight="1" x14ac:dyDescent="0.15">
      <c r="B32" t="s">
        <v>84</v>
      </c>
      <c r="C32" s="12">
        <v>240</v>
      </c>
      <c r="D32" s="8">
        <v>7.92</v>
      </c>
      <c r="E32" s="12">
        <v>138</v>
      </c>
      <c r="F32" s="8">
        <v>8.7200000000000006</v>
      </c>
      <c r="G32" s="12">
        <v>102</v>
      </c>
      <c r="H32" s="8">
        <v>7.08</v>
      </c>
      <c r="I32" s="12">
        <v>0</v>
      </c>
    </row>
    <row r="33" spans="2:9" ht="15" customHeight="1" x14ac:dyDescent="0.15">
      <c r="B33" t="s">
        <v>74</v>
      </c>
      <c r="C33" s="12">
        <v>210</v>
      </c>
      <c r="D33" s="8">
        <v>6.93</v>
      </c>
      <c r="E33" s="12">
        <v>49</v>
      </c>
      <c r="F33" s="8">
        <v>3.1</v>
      </c>
      <c r="G33" s="12">
        <v>161</v>
      </c>
      <c r="H33" s="8">
        <v>11.18</v>
      </c>
      <c r="I33" s="12">
        <v>0</v>
      </c>
    </row>
    <row r="34" spans="2:9" ht="15" customHeight="1" x14ac:dyDescent="0.15">
      <c r="B34" t="s">
        <v>92</v>
      </c>
      <c r="C34" s="12">
        <v>165</v>
      </c>
      <c r="D34" s="8">
        <v>5.45</v>
      </c>
      <c r="E34" s="12">
        <v>115</v>
      </c>
      <c r="F34" s="8">
        <v>7.26</v>
      </c>
      <c r="G34" s="12">
        <v>50</v>
      </c>
      <c r="H34" s="8">
        <v>3.47</v>
      </c>
      <c r="I34" s="12">
        <v>0</v>
      </c>
    </row>
    <row r="35" spans="2:9" ht="15" customHeight="1" x14ac:dyDescent="0.15">
      <c r="B35" t="s">
        <v>82</v>
      </c>
      <c r="C35" s="12">
        <v>163</v>
      </c>
      <c r="D35" s="8">
        <v>5.38</v>
      </c>
      <c r="E35" s="12">
        <v>107</v>
      </c>
      <c r="F35" s="8">
        <v>6.76</v>
      </c>
      <c r="G35" s="12">
        <v>56</v>
      </c>
      <c r="H35" s="8">
        <v>3.89</v>
      </c>
      <c r="I35" s="12">
        <v>0</v>
      </c>
    </row>
    <row r="36" spans="2:9" ht="15" customHeight="1" x14ac:dyDescent="0.15">
      <c r="B36" t="s">
        <v>93</v>
      </c>
      <c r="C36" s="12">
        <v>143</v>
      </c>
      <c r="D36" s="8">
        <v>4.72</v>
      </c>
      <c r="E36" s="12">
        <v>128</v>
      </c>
      <c r="F36" s="8">
        <v>8.09</v>
      </c>
      <c r="G36" s="12">
        <v>15</v>
      </c>
      <c r="H36" s="8">
        <v>1.04</v>
      </c>
      <c r="I36" s="12">
        <v>0</v>
      </c>
    </row>
    <row r="37" spans="2:9" ht="15" customHeight="1" x14ac:dyDescent="0.15">
      <c r="B37" t="s">
        <v>81</v>
      </c>
      <c r="C37" s="12">
        <v>111</v>
      </c>
      <c r="D37" s="8">
        <v>3.66</v>
      </c>
      <c r="E37" s="12">
        <v>69</v>
      </c>
      <c r="F37" s="8">
        <v>4.3600000000000003</v>
      </c>
      <c r="G37" s="12">
        <v>42</v>
      </c>
      <c r="H37" s="8">
        <v>2.92</v>
      </c>
      <c r="I37" s="12">
        <v>0</v>
      </c>
    </row>
    <row r="38" spans="2:9" ht="15" customHeight="1" x14ac:dyDescent="0.15">
      <c r="B38" t="s">
        <v>87</v>
      </c>
      <c r="C38" s="12">
        <v>88</v>
      </c>
      <c r="D38" s="8">
        <v>2.9</v>
      </c>
      <c r="E38" s="12">
        <v>58</v>
      </c>
      <c r="F38" s="8">
        <v>3.66</v>
      </c>
      <c r="G38" s="12">
        <v>30</v>
      </c>
      <c r="H38" s="8">
        <v>2.08</v>
      </c>
      <c r="I38" s="12">
        <v>0</v>
      </c>
    </row>
    <row r="39" spans="2:9" ht="15" customHeight="1" x14ac:dyDescent="0.15">
      <c r="B39" t="s">
        <v>83</v>
      </c>
      <c r="C39" s="12">
        <v>86</v>
      </c>
      <c r="D39" s="8">
        <v>2.84</v>
      </c>
      <c r="E39" s="12">
        <v>52</v>
      </c>
      <c r="F39" s="8">
        <v>3.28</v>
      </c>
      <c r="G39" s="12">
        <v>34</v>
      </c>
      <c r="H39" s="8">
        <v>2.36</v>
      </c>
      <c r="I39" s="12">
        <v>0</v>
      </c>
    </row>
    <row r="40" spans="2:9" ht="15" customHeight="1" x14ac:dyDescent="0.15">
      <c r="B40" t="s">
        <v>75</v>
      </c>
      <c r="C40" s="12">
        <v>82</v>
      </c>
      <c r="D40" s="8">
        <v>2.71</v>
      </c>
      <c r="E40" s="12">
        <v>25</v>
      </c>
      <c r="F40" s="8">
        <v>1.58</v>
      </c>
      <c r="G40" s="12">
        <v>57</v>
      </c>
      <c r="H40" s="8">
        <v>3.96</v>
      </c>
      <c r="I40" s="12">
        <v>0</v>
      </c>
    </row>
    <row r="41" spans="2:9" ht="15" customHeight="1" x14ac:dyDescent="0.15">
      <c r="B41" t="s">
        <v>76</v>
      </c>
      <c r="C41" s="12">
        <v>69</v>
      </c>
      <c r="D41" s="8">
        <v>2.2799999999999998</v>
      </c>
      <c r="E41" s="12">
        <v>14</v>
      </c>
      <c r="F41" s="8">
        <v>0.88</v>
      </c>
      <c r="G41" s="12">
        <v>55</v>
      </c>
      <c r="H41" s="8">
        <v>3.82</v>
      </c>
      <c r="I41" s="12">
        <v>0</v>
      </c>
    </row>
    <row r="42" spans="2:9" ht="15" customHeight="1" x14ac:dyDescent="0.15">
      <c r="B42" t="s">
        <v>85</v>
      </c>
      <c r="C42" s="12">
        <v>64</v>
      </c>
      <c r="D42" s="8">
        <v>2.11</v>
      </c>
      <c r="E42" s="12">
        <v>15</v>
      </c>
      <c r="F42" s="8">
        <v>0.95</v>
      </c>
      <c r="G42" s="12">
        <v>49</v>
      </c>
      <c r="H42" s="8">
        <v>3.4</v>
      </c>
      <c r="I42" s="12">
        <v>0</v>
      </c>
    </row>
    <row r="43" spans="2:9" ht="15" customHeight="1" x14ac:dyDescent="0.15">
      <c r="B43" t="s">
        <v>88</v>
      </c>
      <c r="C43" s="12">
        <v>63</v>
      </c>
      <c r="D43" s="8">
        <v>2.08</v>
      </c>
      <c r="E43" s="12">
        <v>29</v>
      </c>
      <c r="F43" s="8">
        <v>1.83</v>
      </c>
      <c r="G43" s="12">
        <v>34</v>
      </c>
      <c r="H43" s="8">
        <v>2.36</v>
      </c>
      <c r="I43" s="12">
        <v>0</v>
      </c>
    </row>
    <row r="44" spans="2:9" ht="15" customHeight="1" x14ac:dyDescent="0.15">
      <c r="B44" t="s">
        <v>94</v>
      </c>
      <c r="C44" s="12">
        <v>51</v>
      </c>
      <c r="D44" s="8">
        <v>1.68</v>
      </c>
      <c r="E44" s="12">
        <v>0</v>
      </c>
      <c r="F44" s="8">
        <v>0</v>
      </c>
      <c r="G44" s="12">
        <v>51</v>
      </c>
      <c r="H44" s="8">
        <v>3.54</v>
      </c>
      <c r="I44" s="12">
        <v>0</v>
      </c>
    </row>
    <row r="45" spans="2:9" ht="15" customHeight="1" x14ac:dyDescent="0.15">
      <c r="B45" t="s">
        <v>91</v>
      </c>
      <c r="C45" s="12">
        <v>38</v>
      </c>
      <c r="D45" s="8">
        <v>1.25</v>
      </c>
      <c r="E45" s="12">
        <v>20</v>
      </c>
      <c r="F45" s="8">
        <v>1.26</v>
      </c>
      <c r="G45" s="12">
        <v>18</v>
      </c>
      <c r="H45" s="8">
        <v>1.25</v>
      </c>
      <c r="I45" s="12">
        <v>0</v>
      </c>
    </row>
    <row r="46" spans="2:9" ht="15" customHeight="1" x14ac:dyDescent="0.15">
      <c r="B46" t="s">
        <v>80</v>
      </c>
      <c r="C46" s="12">
        <v>37</v>
      </c>
      <c r="D46" s="8">
        <v>1.22</v>
      </c>
      <c r="E46" s="12">
        <v>7</v>
      </c>
      <c r="F46" s="8">
        <v>0.44</v>
      </c>
      <c r="G46" s="12">
        <v>30</v>
      </c>
      <c r="H46" s="8">
        <v>2.08</v>
      </c>
      <c r="I46" s="12">
        <v>0</v>
      </c>
    </row>
    <row r="47" spans="2:9" ht="15" customHeight="1" x14ac:dyDescent="0.15">
      <c r="B47" t="s">
        <v>97</v>
      </c>
      <c r="C47" s="12">
        <v>37</v>
      </c>
      <c r="D47" s="8">
        <v>1.22</v>
      </c>
      <c r="E47" s="12">
        <v>4</v>
      </c>
      <c r="F47" s="8">
        <v>0.25</v>
      </c>
      <c r="G47" s="12">
        <v>32</v>
      </c>
      <c r="H47" s="8">
        <v>2.2200000000000002</v>
      </c>
      <c r="I47" s="12">
        <v>1</v>
      </c>
    </row>
    <row r="48" spans="2:9" ht="15" customHeight="1" x14ac:dyDescent="0.15">
      <c r="B48" t="s">
        <v>78</v>
      </c>
      <c r="C48" s="12">
        <v>34</v>
      </c>
      <c r="D48" s="8">
        <v>1.1200000000000001</v>
      </c>
      <c r="E48" s="12">
        <v>4</v>
      </c>
      <c r="F48" s="8">
        <v>0.25</v>
      </c>
      <c r="G48" s="12">
        <v>30</v>
      </c>
      <c r="H48" s="8">
        <v>2.08</v>
      </c>
      <c r="I48" s="12">
        <v>0</v>
      </c>
    </row>
    <row r="51" spans="2:9" ht="33" customHeight="1" x14ac:dyDescent="0.15">
      <c r="B51" t="s">
        <v>230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141</v>
      </c>
      <c r="C52" s="12">
        <v>168</v>
      </c>
      <c r="D52" s="8">
        <v>5.54</v>
      </c>
      <c r="E52" s="12">
        <v>148</v>
      </c>
      <c r="F52" s="8">
        <v>9.35</v>
      </c>
      <c r="G52" s="12">
        <v>20</v>
      </c>
      <c r="H52" s="8">
        <v>1.39</v>
      </c>
      <c r="I52" s="12">
        <v>0</v>
      </c>
    </row>
    <row r="53" spans="2:9" ht="15" customHeight="1" x14ac:dyDescent="0.15">
      <c r="B53" t="s">
        <v>134</v>
      </c>
      <c r="C53" s="12">
        <v>159</v>
      </c>
      <c r="D53" s="8">
        <v>5.25</v>
      </c>
      <c r="E53" s="12">
        <v>72</v>
      </c>
      <c r="F53" s="8">
        <v>4.55</v>
      </c>
      <c r="G53" s="12">
        <v>87</v>
      </c>
      <c r="H53" s="8">
        <v>6.04</v>
      </c>
      <c r="I53" s="12">
        <v>0</v>
      </c>
    </row>
    <row r="54" spans="2:9" ht="15" customHeight="1" x14ac:dyDescent="0.15">
      <c r="B54" t="s">
        <v>138</v>
      </c>
      <c r="C54" s="12">
        <v>106</v>
      </c>
      <c r="D54" s="8">
        <v>3.5</v>
      </c>
      <c r="E54" s="12">
        <v>95</v>
      </c>
      <c r="F54" s="8">
        <v>6</v>
      </c>
      <c r="G54" s="12">
        <v>11</v>
      </c>
      <c r="H54" s="8">
        <v>0.76</v>
      </c>
      <c r="I54" s="12">
        <v>0</v>
      </c>
    </row>
    <row r="55" spans="2:9" ht="15" customHeight="1" x14ac:dyDescent="0.15">
      <c r="B55" t="s">
        <v>149</v>
      </c>
      <c r="C55" s="12">
        <v>100</v>
      </c>
      <c r="D55" s="8">
        <v>3.3</v>
      </c>
      <c r="E55" s="12">
        <v>3</v>
      </c>
      <c r="F55" s="8">
        <v>0.19</v>
      </c>
      <c r="G55" s="12">
        <v>96</v>
      </c>
      <c r="H55" s="8">
        <v>6.67</v>
      </c>
      <c r="I55" s="12">
        <v>1</v>
      </c>
    </row>
    <row r="56" spans="2:9" ht="15" customHeight="1" x14ac:dyDescent="0.15">
      <c r="B56" t="s">
        <v>132</v>
      </c>
      <c r="C56" s="12">
        <v>99</v>
      </c>
      <c r="D56" s="8">
        <v>3.27</v>
      </c>
      <c r="E56" s="12">
        <v>74</v>
      </c>
      <c r="F56" s="8">
        <v>4.67</v>
      </c>
      <c r="G56" s="12">
        <v>25</v>
      </c>
      <c r="H56" s="8">
        <v>1.74</v>
      </c>
      <c r="I56" s="12">
        <v>0</v>
      </c>
    </row>
    <row r="57" spans="2:9" ht="15" customHeight="1" x14ac:dyDescent="0.15">
      <c r="B57" t="s">
        <v>125</v>
      </c>
      <c r="C57" s="12">
        <v>97</v>
      </c>
      <c r="D57" s="8">
        <v>3.2</v>
      </c>
      <c r="E57" s="12">
        <v>27</v>
      </c>
      <c r="F57" s="8">
        <v>1.71</v>
      </c>
      <c r="G57" s="12">
        <v>70</v>
      </c>
      <c r="H57" s="8">
        <v>4.8600000000000003</v>
      </c>
      <c r="I57" s="12">
        <v>0</v>
      </c>
    </row>
    <row r="58" spans="2:9" ht="15" customHeight="1" x14ac:dyDescent="0.15">
      <c r="B58" t="s">
        <v>144</v>
      </c>
      <c r="C58" s="12">
        <v>97</v>
      </c>
      <c r="D58" s="8">
        <v>3.2</v>
      </c>
      <c r="E58" s="12">
        <v>89</v>
      </c>
      <c r="F58" s="8">
        <v>5.62</v>
      </c>
      <c r="G58" s="12">
        <v>8</v>
      </c>
      <c r="H58" s="8">
        <v>0.56000000000000005</v>
      </c>
      <c r="I58" s="12">
        <v>0</v>
      </c>
    </row>
    <row r="59" spans="2:9" ht="15" customHeight="1" x14ac:dyDescent="0.15">
      <c r="B59" t="s">
        <v>143</v>
      </c>
      <c r="C59" s="12">
        <v>93</v>
      </c>
      <c r="D59" s="8">
        <v>3.07</v>
      </c>
      <c r="E59" s="12">
        <v>73</v>
      </c>
      <c r="F59" s="8">
        <v>4.6100000000000003</v>
      </c>
      <c r="G59" s="12">
        <v>20</v>
      </c>
      <c r="H59" s="8">
        <v>1.39</v>
      </c>
      <c r="I59" s="12">
        <v>0</v>
      </c>
    </row>
    <row r="60" spans="2:9" ht="15" customHeight="1" x14ac:dyDescent="0.15">
      <c r="B60" t="s">
        <v>135</v>
      </c>
      <c r="C60" s="12">
        <v>85</v>
      </c>
      <c r="D60" s="8">
        <v>2.81</v>
      </c>
      <c r="E60" s="12">
        <v>74</v>
      </c>
      <c r="F60" s="8">
        <v>4.67</v>
      </c>
      <c r="G60" s="12">
        <v>11</v>
      </c>
      <c r="H60" s="8">
        <v>0.76</v>
      </c>
      <c r="I60" s="12">
        <v>0</v>
      </c>
    </row>
    <row r="61" spans="2:9" ht="15" customHeight="1" x14ac:dyDescent="0.15">
      <c r="B61" t="s">
        <v>128</v>
      </c>
      <c r="C61" s="12">
        <v>68</v>
      </c>
      <c r="D61" s="8">
        <v>2.2400000000000002</v>
      </c>
      <c r="E61" s="12">
        <v>43</v>
      </c>
      <c r="F61" s="8">
        <v>2.72</v>
      </c>
      <c r="G61" s="12">
        <v>25</v>
      </c>
      <c r="H61" s="8">
        <v>1.74</v>
      </c>
      <c r="I61" s="12">
        <v>0</v>
      </c>
    </row>
    <row r="62" spans="2:9" ht="15" customHeight="1" x14ac:dyDescent="0.15">
      <c r="B62" t="s">
        <v>140</v>
      </c>
      <c r="C62" s="12">
        <v>65</v>
      </c>
      <c r="D62" s="8">
        <v>2.15</v>
      </c>
      <c r="E62" s="12">
        <v>58</v>
      </c>
      <c r="F62" s="8">
        <v>3.66</v>
      </c>
      <c r="G62" s="12">
        <v>7</v>
      </c>
      <c r="H62" s="8">
        <v>0.49</v>
      </c>
      <c r="I62" s="12">
        <v>0</v>
      </c>
    </row>
    <row r="63" spans="2:9" ht="15" customHeight="1" x14ac:dyDescent="0.15">
      <c r="B63" t="s">
        <v>142</v>
      </c>
      <c r="C63" s="12">
        <v>64</v>
      </c>
      <c r="D63" s="8">
        <v>2.11</v>
      </c>
      <c r="E63" s="12">
        <v>40</v>
      </c>
      <c r="F63" s="8">
        <v>2.5299999999999998</v>
      </c>
      <c r="G63" s="12">
        <v>24</v>
      </c>
      <c r="H63" s="8">
        <v>1.67</v>
      </c>
      <c r="I63" s="12">
        <v>0</v>
      </c>
    </row>
    <row r="64" spans="2:9" ht="15" customHeight="1" x14ac:dyDescent="0.15">
      <c r="B64" t="s">
        <v>129</v>
      </c>
      <c r="C64" s="12">
        <v>60</v>
      </c>
      <c r="D64" s="8">
        <v>1.98</v>
      </c>
      <c r="E64" s="12">
        <v>38</v>
      </c>
      <c r="F64" s="8">
        <v>2.4</v>
      </c>
      <c r="G64" s="12">
        <v>22</v>
      </c>
      <c r="H64" s="8">
        <v>1.53</v>
      </c>
      <c r="I64" s="12">
        <v>0</v>
      </c>
    </row>
    <row r="65" spans="2:9" ht="15" customHeight="1" x14ac:dyDescent="0.15">
      <c r="B65" t="s">
        <v>136</v>
      </c>
      <c r="C65" s="12">
        <v>55</v>
      </c>
      <c r="D65" s="8">
        <v>1.82</v>
      </c>
      <c r="E65" s="12">
        <v>52</v>
      </c>
      <c r="F65" s="8">
        <v>3.28</v>
      </c>
      <c r="G65" s="12">
        <v>3</v>
      </c>
      <c r="H65" s="8">
        <v>0.21</v>
      </c>
      <c r="I65" s="12">
        <v>0</v>
      </c>
    </row>
    <row r="66" spans="2:9" ht="15" customHeight="1" x14ac:dyDescent="0.15">
      <c r="B66" t="s">
        <v>133</v>
      </c>
      <c r="C66" s="12">
        <v>51</v>
      </c>
      <c r="D66" s="8">
        <v>1.68</v>
      </c>
      <c r="E66" s="12">
        <v>14</v>
      </c>
      <c r="F66" s="8">
        <v>0.88</v>
      </c>
      <c r="G66" s="12">
        <v>37</v>
      </c>
      <c r="H66" s="8">
        <v>2.57</v>
      </c>
      <c r="I66" s="12">
        <v>0</v>
      </c>
    </row>
    <row r="67" spans="2:9" ht="15" customHeight="1" x14ac:dyDescent="0.15">
      <c r="B67" t="s">
        <v>139</v>
      </c>
      <c r="C67" s="12">
        <v>49</v>
      </c>
      <c r="D67" s="8">
        <v>1.62</v>
      </c>
      <c r="E67" s="12">
        <v>22</v>
      </c>
      <c r="F67" s="8">
        <v>1.39</v>
      </c>
      <c r="G67" s="12">
        <v>27</v>
      </c>
      <c r="H67" s="8">
        <v>1.88</v>
      </c>
      <c r="I67" s="12">
        <v>0</v>
      </c>
    </row>
    <row r="68" spans="2:9" ht="15" customHeight="1" x14ac:dyDescent="0.15">
      <c r="B68" t="s">
        <v>147</v>
      </c>
      <c r="C68" s="12">
        <v>47</v>
      </c>
      <c r="D68" s="8">
        <v>1.55</v>
      </c>
      <c r="E68" s="12">
        <v>5</v>
      </c>
      <c r="F68" s="8">
        <v>0.32</v>
      </c>
      <c r="G68" s="12">
        <v>42</v>
      </c>
      <c r="H68" s="8">
        <v>2.92</v>
      </c>
      <c r="I68" s="12">
        <v>0</v>
      </c>
    </row>
    <row r="69" spans="2:9" ht="15" customHeight="1" x14ac:dyDescent="0.15">
      <c r="B69" t="s">
        <v>130</v>
      </c>
      <c r="C69" s="12">
        <v>46</v>
      </c>
      <c r="D69" s="8">
        <v>1.52</v>
      </c>
      <c r="E69" s="12">
        <v>30</v>
      </c>
      <c r="F69" s="8">
        <v>1.9</v>
      </c>
      <c r="G69" s="12">
        <v>16</v>
      </c>
      <c r="H69" s="8">
        <v>1.1100000000000001</v>
      </c>
      <c r="I69" s="12">
        <v>0</v>
      </c>
    </row>
    <row r="70" spans="2:9" ht="15" customHeight="1" x14ac:dyDescent="0.15">
      <c r="B70" t="s">
        <v>131</v>
      </c>
      <c r="C70" s="12">
        <v>42</v>
      </c>
      <c r="D70" s="8">
        <v>1.39</v>
      </c>
      <c r="E70" s="12">
        <v>15</v>
      </c>
      <c r="F70" s="8">
        <v>0.95</v>
      </c>
      <c r="G70" s="12">
        <v>27</v>
      </c>
      <c r="H70" s="8">
        <v>1.88</v>
      </c>
      <c r="I70" s="12">
        <v>0</v>
      </c>
    </row>
    <row r="71" spans="2:9" ht="15" customHeight="1" x14ac:dyDescent="0.15">
      <c r="B71" t="s">
        <v>153</v>
      </c>
      <c r="C71" s="12">
        <v>40</v>
      </c>
      <c r="D71" s="8">
        <v>1.32</v>
      </c>
      <c r="E71" s="12">
        <v>7</v>
      </c>
      <c r="F71" s="8">
        <v>0.44</v>
      </c>
      <c r="G71" s="12">
        <v>33</v>
      </c>
      <c r="H71" s="8">
        <v>2.29</v>
      </c>
      <c r="I71" s="12">
        <v>0</v>
      </c>
    </row>
    <row r="72" spans="2:9" ht="15" customHeight="1" x14ac:dyDescent="0.15">
      <c r="B72" t="s">
        <v>146</v>
      </c>
      <c r="C72" s="12">
        <v>40</v>
      </c>
      <c r="D72" s="8">
        <v>1.32</v>
      </c>
      <c r="E72" s="12">
        <v>27</v>
      </c>
      <c r="F72" s="8">
        <v>1.71</v>
      </c>
      <c r="G72" s="12">
        <v>13</v>
      </c>
      <c r="H72" s="8">
        <v>0.9</v>
      </c>
      <c r="I72" s="12">
        <v>0</v>
      </c>
    </row>
    <row r="74" spans="2:9" ht="15" customHeight="1" x14ac:dyDescent="0.15">
      <c r="B74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311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257</v>
      </c>
      <c r="D6" s="8">
        <v>13.49</v>
      </c>
      <c r="E6" s="12">
        <v>131</v>
      </c>
      <c r="F6" s="8">
        <v>10.79</v>
      </c>
      <c r="G6" s="12">
        <v>126</v>
      </c>
      <c r="H6" s="8">
        <v>18.309999999999999</v>
      </c>
      <c r="I6" s="12">
        <v>0</v>
      </c>
    </row>
    <row r="7" spans="2:9" ht="15" customHeight="1" x14ac:dyDescent="0.15">
      <c r="B7" t="s">
        <v>53</v>
      </c>
      <c r="C7" s="12">
        <v>363</v>
      </c>
      <c r="D7" s="8">
        <v>19.059999999999999</v>
      </c>
      <c r="E7" s="12">
        <v>193</v>
      </c>
      <c r="F7" s="8">
        <v>15.9</v>
      </c>
      <c r="G7" s="12">
        <v>170</v>
      </c>
      <c r="H7" s="8">
        <v>24.71</v>
      </c>
      <c r="I7" s="12">
        <v>0</v>
      </c>
    </row>
    <row r="8" spans="2:9" ht="15" customHeight="1" x14ac:dyDescent="0.15">
      <c r="B8" t="s">
        <v>54</v>
      </c>
      <c r="C8" s="12">
        <v>1</v>
      </c>
      <c r="D8" s="8">
        <v>0.05</v>
      </c>
      <c r="E8" s="12">
        <v>0</v>
      </c>
      <c r="F8" s="8">
        <v>0</v>
      </c>
      <c r="G8" s="12">
        <v>1</v>
      </c>
      <c r="H8" s="8">
        <v>0.15</v>
      </c>
      <c r="I8" s="12">
        <v>0</v>
      </c>
    </row>
    <row r="9" spans="2:9" ht="15" customHeight="1" x14ac:dyDescent="0.15">
      <c r="B9" t="s">
        <v>55</v>
      </c>
      <c r="C9" s="12">
        <v>5</v>
      </c>
      <c r="D9" s="8">
        <v>0.26</v>
      </c>
      <c r="E9" s="12">
        <v>0</v>
      </c>
      <c r="F9" s="8">
        <v>0</v>
      </c>
      <c r="G9" s="12">
        <v>5</v>
      </c>
      <c r="H9" s="8">
        <v>0.73</v>
      </c>
      <c r="I9" s="12">
        <v>0</v>
      </c>
    </row>
    <row r="10" spans="2:9" ht="15" customHeight="1" x14ac:dyDescent="0.15">
      <c r="B10" t="s">
        <v>56</v>
      </c>
      <c r="C10" s="12">
        <v>19</v>
      </c>
      <c r="D10" s="8">
        <v>1</v>
      </c>
      <c r="E10" s="12">
        <v>3</v>
      </c>
      <c r="F10" s="8">
        <v>0.25</v>
      </c>
      <c r="G10" s="12">
        <v>16</v>
      </c>
      <c r="H10" s="8">
        <v>2.33</v>
      </c>
      <c r="I10" s="12">
        <v>0</v>
      </c>
    </row>
    <row r="11" spans="2:9" ht="15" customHeight="1" x14ac:dyDescent="0.15">
      <c r="B11" t="s">
        <v>57</v>
      </c>
      <c r="C11" s="12">
        <v>504</v>
      </c>
      <c r="D11" s="8">
        <v>26.46</v>
      </c>
      <c r="E11" s="12">
        <v>300</v>
      </c>
      <c r="F11" s="8">
        <v>24.71</v>
      </c>
      <c r="G11" s="12">
        <v>201</v>
      </c>
      <c r="H11" s="8">
        <v>29.22</v>
      </c>
      <c r="I11" s="12">
        <v>3</v>
      </c>
    </row>
    <row r="12" spans="2:9" ht="15" customHeight="1" x14ac:dyDescent="0.15">
      <c r="B12" t="s">
        <v>58</v>
      </c>
      <c r="C12" s="12">
        <v>9</v>
      </c>
      <c r="D12" s="8">
        <v>0.47</v>
      </c>
      <c r="E12" s="12">
        <v>1</v>
      </c>
      <c r="F12" s="8">
        <v>0.08</v>
      </c>
      <c r="G12" s="12">
        <v>8</v>
      </c>
      <c r="H12" s="8">
        <v>1.1599999999999999</v>
      </c>
      <c r="I12" s="12">
        <v>0</v>
      </c>
    </row>
    <row r="13" spans="2:9" ht="15" customHeight="1" x14ac:dyDescent="0.15">
      <c r="B13" t="s">
        <v>59</v>
      </c>
      <c r="C13" s="12">
        <v>62</v>
      </c>
      <c r="D13" s="8">
        <v>3.25</v>
      </c>
      <c r="E13" s="12">
        <v>25</v>
      </c>
      <c r="F13" s="8">
        <v>2.06</v>
      </c>
      <c r="G13" s="12">
        <v>37</v>
      </c>
      <c r="H13" s="8">
        <v>5.38</v>
      </c>
      <c r="I13" s="12">
        <v>0</v>
      </c>
    </row>
    <row r="14" spans="2:9" ht="15" customHeight="1" x14ac:dyDescent="0.15">
      <c r="B14" t="s">
        <v>60</v>
      </c>
      <c r="C14" s="12">
        <v>47</v>
      </c>
      <c r="D14" s="8">
        <v>2.4700000000000002</v>
      </c>
      <c r="E14" s="12">
        <v>35</v>
      </c>
      <c r="F14" s="8">
        <v>2.88</v>
      </c>
      <c r="G14" s="12">
        <v>12</v>
      </c>
      <c r="H14" s="8">
        <v>1.74</v>
      </c>
      <c r="I14" s="12">
        <v>0</v>
      </c>
    </row>
    <row r="15" spans="2:9" ht="15" customHeight="1" x14ac:dyDescent="0.15">
      <c r="B15" t="s">
        <v>61</v>
      </c>
      <c r="C15" s="12">
        <v>234</v>
      </c>
      <c r="D15" s="8">
        <v>12.28</v>
      </c>
      <c r="E15" s="12">
        <v>206</v>
      </c>
      <c r="F15" s="8">
        <v>16.97</v>
      </c>
      <c r="G15" s="12">
        <v>28</v>
      </c>
      <c r="H15" s="8">
        <v>4.07</v>
      </c>
      <c r="I15" s="12">
        <v>0</v>
      </c>
    </row>
    <row r="16" spans="2:9" ht="15" customHeight="1" x14ac:dyDescent="0.15">
      <c r="B16" t="s">
        <v>62</v>
      </c>
      <c r="C16" s="12">
        <v>208</v>
      </c>
      <c r="D16" s="8">
        <v>10.92</v>
      </c>
      <c r="E16" s="12">
        <v>173</v>
      </c>
      <c r="F16" s="8">
        <v>14.25</v>
      </c>
      <c r="G16" s="12">
        <v>35</v>
      </c>
      <c r="H16" s="8">
        <v>5.09</v>
      </c>
      <c r="I16" s="12">
        <v>0</v>
      </c>
    </row>
    <row r="17" spans="2:9" ht="15" customHeight="1" x14ac:dyDescent="0.15">
      <c r="B17" t="s">
        <v>63</v>
      </c>
      <c r="C17" s="12">
        <v>73</v>
      </c>
      <c r="D17" s="8">
        <v>3.83</v>
      </c>
      <c r="E17" s="12">
        <v>59</v>
      </c>
      <c r="F17" s="8">
        <v>4.8600000000000003</v>
      </c>
      <c r="G17" s="12">
        <v>14</v>
      </c>
      <c r="H17" s="8">
        <v>2.0299999999999998</v>
      </c>
      <c r="I17" s="12">
        <v>0</v>
      </c>
    </row>
    <row r="18" spans="2:9" ht="15" customHeight="1" x14ac:dyDescent="0.15">
      <c r="B18" t="s">
        <v>64</v>
      </c>
      <c r="C18" s="12">
        <v>67</v>
      </c>
      <c r="D18" s="8">
        <v>3.52</v>
      </c>
      <c r="E18" s="12">
        <v>53</v>
      </c>
      <c r="F18" s="8">
        <v>4.37</v>
      </c>
      <c r="G18" s="12">
        <v>14</v>
      </c>
      <c r="H18" s="8">
        <v>2.0299999999999998</v>
      </c>
      <c r="I18" s="12">
        <v>0</v>
      </c>
    </row>
    <row r="19" spans="2:9" ht="15" customHeight="1" x14ac:dyDescent="0.15">
      <c r="B19" t="s">
        <v>65</v>
      </c>
      <c r="C19" s="12">
        <v>56</v>
      </c>
      <c r="D19" s="8">
        <v>2.94</v>
      </c>
      <c r="E19" s="12">
        <v>35</v>
      </c>
      <c r="F19" s="8">
        <v>2.88</v>
      </c>
      <c r="G19" s="12">
        <v>21</v>
      </c>
      <c r="H19" s="8">
        <v>3.05</v>
      </c>
      <c r="I19" s="12">
        <v>0</v>
      </c>
    </row>
    <row r="20" spans="2:9" ht="15" customHeight="1" x14ac:dyDescent="0.15">
      <c r="B20" s="9" t="s">
        <v>215</v>
      </c>
      <c r="C20" s="12">
        <f>SUM(LTBL_28215[総数／事業所数])</f>
        <v>1905</v>
      </c>
      <c r="E20" s="12">
        <f>SUBTOTAL(109,LTBL_28215[個人／事業所数])</f>
        <v>1214</v>
      </c>
      <c r="G20" s="12">
        <f>SUBTOTAL(109,LTBL_28215[法人／事業所数])</f>
        <v>688</v>
      </c>
      <c r="I20" s="12">
        <f>SUBTOTAL(109,LTBL_28215[法人以外の団体／事業所数])</f>
        <v>3</v>
      </c>
    </row>
    <row r="21" spans="2:9" ht="15" customHeight="1" x14ac:dyDescent="0.15">
      <c r="E21" s="11">
        <f>LTBL_28215[[#Totals],[個人／事業所数]]/LTBL_28215[[#Totals],[総数／事業所数]]</f>
        <v>0.63727034120734904</v>
      </c>
      <c r="G21" s="11">
        <f>LTBL_28215[[#Totals],[法人／事業所数]]/LTBL_28215[[#Totals],[総数／事業所数]]</f>
        <v>0.36115485564304461</v>
      </c>
      <c r="I21" s="11">
        <f>LTBL_28215[[#Totals],[法人以外の団体／事業所数]]/LTBL_28215[[#Totals],[総数／事業所数]]</f>
        <v>1.5748031496062992E-3</v>
      </c>
    </row>
    <row r="23" spans="2:9" ht="33" customHeight="1" x14ac:dyDescent="0.15">
      <c r="B23" t="s">
        <v>214</v>
      </c>
      <c r="C23" s="10" t="s">
        <v>67</v>
      </c>
      <c r="D23" s="10" t="s">
        <v>312</v>
      </c>
      <c r="E23" s="10" t="s">
        <v>69</v>
      </c>
      <c r="F23" s="10" t="s">
        <v>222</v>
      </c>
      <c r="G23" s="10" t="s">
        <v>71</v>
      </c>
      <c r="H23" s="10" t="s">
        <v>313</v>
      </c>
      <c r="I23" s="10" t="s">
        <v>73</v>
      </c>
    </row>
    <row r="24" spans="2:9" ht="15" customHeight="1" x14ac:dyDescent="0.15">
      <c r="B24" t="s">
        <v>217</v>
      </c>
      <c r="C24">
        <v>12</v>
      </c>
      <c r="D24" t="s">
        <v>216</v>
      </c>
      <c r="E24">
        <v>0</v>
      </c>
      <c r="F24" t="s">
        <v>218</v>
      </c>
      <c r="G24">
        <v>12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314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89</v>
      </c>
      <c r="C29" s="12">
        <v>212</v>
      </c>
      <c r="D29" s="8">
        <v>11.13</v>
      </c>
      <c r="E29" s="12">
        <v>195</v>
      </c>
      <c r="F29" s="8">
        <v>16.059999999999999</v>
      </c>
      <c r="G29" s="12">
        <v>17</v>
      </c>
      <c r="H29" s="8">
        <v>2.4700000000000002</v>
      </c>
      <c r="I29" s="12">
        <v>0</v>
      </c>
    </row>
    <row r="30" spans="2:9" ht="15" customHeight="1" x14ac:dyDescent="0.15">
      <c r="B30" t="s">
        <v>90</v>
      </c>
      <c r="C30" s="12">
        <v>185</v>
      </c>
      <c r="D30" s="8">
        <v>9.7100000000000009</v>
      </c>
      <c r="E30" s="12">
        <v>161</v>
      </c>
      <c r="F30" s="8">
        <v>13.26</v>
      </c>
      <c r="G30" s="12">
        <v>24</v>
      </c>
      <c r="H30" s="8">
        <v>3.49</v>
      </c>
      <c r="I30" s="12">
        <v>0</v>
      </c>
    </row>
    <row r="31" spans="2:9" ht="15" customHeight="1" x14ac:dyDescent="0.15">
      <c r="B31" t="s">
        <v>77</v>
      </c>
      <c r="C31" s="12">
        <v>174</v>
      </c>
      <c r="D31" s="8">
        <v>9.1300000000000008</v>
      </c>
      <c r="E31" s="12">
        <v>112</v>
      </c>
      <c r="F31" s="8">
        <v>9.23</v>
      </c>
      <c r="G31" s="12">
        <v>62</v>
      </c>
      <c r="H31" s="8">
        <v>9.01</v>
      </c>
      <c r="I31" s="12">
        <v>0</v>
      </c>
    </row>
    <row r="32" spans="2:9" ht="15" customHeight="1" x14ac:dyDescent="0.15">
      <c r="B32" t="s">
        <v>84</v>
      </c>
      <c r="C32" s="12">
        <v>140</v>
      </c>
      <c r="D32" s="8">
        <v>7.35</v>
      </c>
      <c r="E32" s="12">
        <v>89</v>
      </c>
      <c r="F32" s="8">
        <v>7.33</v>
      </c>
      <c r="G32" s="12">
        <v>51</v>
      </c>
      <c r="H32" s="8">
        <v>7.41</v>
      </c>
      <c r="I32" s="12">
        <v>0</v>
      </c>
    </row>
    <row r="33" spans="2:9" ht="15" customHeight="1" x14ac:dyDescent="0.15">
      <c r="B33" t="s">
        <v>74</v>
      </c>
      <c r="C33" s="12">
        <v>134</v>
      </c>
      <c r="D33" s="8">
        <v>7.03</v>
      </c>
      <c r="E33" s="12">
        <v>55</v>
      </c>
      <c r="F33" s="8">
        <v>4.53</v>
      </c>
      <c r="G33" s="12">
        <v>79</v>
      </c>
      <c r="H33" s="8">
        <v>11.48</v>
      </c>
      <c r="I33" s="12">
        <v>0</v>
      </c>
    </row>
    <row r="34" spans="2:9" ht="15" customHeight="1" x14ac:dyDescent="0.15">
      <c r="B34" t="s">
        <v>80</v>
      </c>
      <c r="C34" s="12">
        <v>87</v>
      </c>
      <c r="D34" s="8">
        <v>4.57</v>
      </c>
      <c r="E34" s="12">
        <v>45</v>
      </c>
      <c r="F34" s="8">
        <v>3.71</v>
      </c>
      <c r="G34" s="12">
        <v>41</v>
      </c>
      <c r="H34" s="8">
        <v>5.96</v>
      </c>
      <c r="I34" s="12">
        <v>1</v>
      </c>
    </row>
    <row r="35" spans="2:9" ht="15" customHeight="1" x14ac:dyDescent="0.15">
      <c r="B35" t="s">
        <v>75</v>
      </c>
      <c r="C35" s="12">
        <v>75</v>
      </c>
      <c r="D35" s="8">
        <v>3.94</v>
      </c>
      <c r="E35" s="12">
        <v>50</v>
      </c>
      <c r="F35" s="8">
        <v>4.12</v>
      </c>
      <c r="G35" s="12">
        <v>25</v>
      </c>
      <c r="H35" s="8">
        <v>3.63</v>
      </c>
      <c r="I35" s="12">
        <v>0</v>
      </c>
    </row>
    <row r="36" spans="2:9" ht="15" customHeight="1" x14ac:dyDescent="0.15">
      <c r="B36" t="s">
        <v>82</v>
      </c>
      <c r="C36" s="12">
        <v>74</v>
      </c>
      <c r="D36" s="8">
        <v>3.88</v>
      </c>
      <c r="E36" s="12">
        <v>60</v>
      </c>
      <c r="F36" s="8">
        <v>4.9400000000000004</v>
      </c>
      <c r="G36" s="12">
        <v>12</v>
      </c>
      <c r="H36" s="8">
        <v>1.74</v>
      </c>
      <c r="I36" s="12">
        <v>2</v>
      </c>
    </row>
    <row r="37" spans="2:9" ht="15" customHeight="1" x14ac:dyDescent="0.15">
      <c r="B37" t="s">
        <v>92</v>
      </c>
      <c r="C37" s="12">
        <v>73</v>
      </c>
      <c r="D37" s="8">
        <v>3.83</v>
      </c>
      <c r="E37" s="12">
        <v>59</v>
      </c>
      <c r="F37" s="8">
        <v>4.8600000000000003</v>
      </c>
      <c r="G37" s="12">
        <v>14</v>
      </c>
      <c r="H37" s="8">
        <v>2.0299999999999998</v>
      </c>
      <c r="I37" s="12">
        <v>0</v>
      </c>
    </row>
    <row r="38" spans="2:9" ht="15" customHeight="1" x14ac:dyDescent="0.15">
      <c r="B38" t="s">
        <v>83</v>
      </c>
      <c r="C38" s="12">
        <v>71</v>
      </c>
      <c r="D38" s="8">
        <v>3.73</v>
      </c>
      <c r="E38" s="12">
        <v>44</v>
      </c>
      <c r="F38" s="8">
        <v>3.62</v>
      </c>
      <c r="G38" s="12">
        <v>27</v>
      </c>
      <c r="H38" s="8">
        <v>3.92</v>
      </c>
      <c r="I38" s="12">
        <v>0</v>
      </c>
    </row>
    <row r="39" spans="2:9" ht="15" customHeight="1" x14ac:dyDescent="0.15">
      <c r="B39" t="s">
        <v>93</v>
      </c>
      <c r="C39" s="12">
        <v>55</v>
      </c>
      <c r="D39" s="8">
        <v>2.89</v>
      </c>
      <c r="E39" s="12">
        <v>53</v>
      </c>
      <c r="F39" s="8">
        <v>4.37</v>
      </c>
      <c r="G39" s="12">
        <v>2</v>
      </c>
      <c r="H39" s="8">
        <v>0.28999999999999998</v>
      </c>
      <c r="I39" s="12">
        <v>0</v>
      </c>
    </row>
    <row r="40" spans="2:9" ht="15" customHeight="1" x14ac:dyDescent="0.15">
      <c r="B40" t="s">
        <v>76</v>
      </c>
      <c r="C40" s="12">
        <v>48</v>
      </c>
      <c r="D40" s="8">
        <v>2.52</v>
      </c>
      <c r="E40" s="12">
        <v>26</v>
      </c>
      <c r="F40" s="8">
        <v>2.14</v>
      </c>
      <c r="G40" s="12">
        <v>22</v>
      </c>
      <c r="H40" s="8">
        <v>3.2</v>
      </c>
      <c r="I40" s="12">
        <v>0</v>
      </c>
    </row>
    <row r="41" spans="2:9" ht="15" customHeight="1" x14ac:dyDescent="0.15">
      <c r="B41" t="s">
        <v>81</v>
      </c>
      <c r="C41" s="12">
        <v>46</v>
      </c>
      <c r="D41" s="8">
        <v>2.41</v>
      </c>
      <c r="E41" s="12">
        <v>36</v>
      </c>
      <c r="F41" s="8">
        <v>2.97</v>
      </c>
      <c r="G41" s="12">
        <v>10</v>
      </c>
      <c r="H41" s="8">
        <v>1.45</v>
      </c>
      <c r="I41" s="12">
        <v>0</v>
      </c>
    </row>
    <row r="42" spans="2:9" ht="15" customHeight="1" x14ac:dyDescent="0.15">
      <c r="B42" t="s">
        <v>86</v>
      </c>
      <c r="C42" s="12">
        <v>36</v>
      </c>
      <c r="D42" s="8">
        <v>1.89</v>
      </c>
      <c r="E42" s="12">
        <v>17</v>
      </c>
      <c r="F42" s="8">
        <v>1.4</v>
      </c>
      <c r="G42" s="12">
        <v>19</v>
      </c>
      <c r="H42" s="8">
        <v>2.76</v>
      </c>
      <c r="I42" s="12">
        <v>0</v>
      </c>
    </row>
    <row r="43" spans="2:9" ht="15" customHeight="1" x14ac:dyDescent="0.15">
      <c r="B43" t="s">
        <v>79</v>
      </c>
      <c r="C43" s="12">
        <v>34</v>
      </c>
      <c r="D43" s="8">
        <v>1.78</v>
      </c>
      <c r="E43" s="12">
        <v>9</v>
      </c>
      <c r="F43" s="8">
        <v>0.74</v>
      </c>
      <c r="G43" s="12">
        <v>25</v>
      </c>
      <c r="H43" s="8">
        <v>3.63</v>
      </c>
      <c r="I43" s="12">
        <v>0</v>
      </c>
    </row>
    <row r="44" spans="2:9" ht="15" customHeight="1" x14ac:dyDescent="0.15">
      <c r="B44" t="s">
        <v>106</v>
      </c>
      <c r="C44" s="12">
        <v>34</v>
      </c>
      <c r="D44" s="8">
        <v>1.78</v>
      </c>
      <c r="E44" s="12">
        <v>28</v>
      </c>
      <c r="F44" s="8">
        <v>2.31</v>
      </c>
      <c r="G44" s="12">
        <v>6</v>
      </c>
      <c r="H44" s="8">
        <v>0.87</v>
      </c>
      <c r="I44" s="12">
        <v>0</v>
      </c>
    </row>
    <row r="45" spans="2:9" ht="15" customHeight="1" x14ac:dyDescent="0.15">
      <c r="B45" t="s">
        <v>101</v>
      </c>
      <c r="C45" s="12">
        <v>27</v>
      </c>
      <c r="D45" s="8">
        <v>1.42</v>
      </c>
      <c r="E45" s="12">
        <v>11</v>
      </c>
      <c r="F45" s="8">
        <v>0.91</v>
      </c>
      <c r="G45" s="12">
        <v>16</v>
      </c>
      <c r="H45" s="8">
        <v>2.33</v>
      </c>
      <c r="I45" s="12">
        <v>0</v>
      </c>
    </row>
    <row r="46" spans="2:9" ht="15" customHeight="1" x14ac:dyDescent="0.15">
      <c r="B46" t="s">
        <v>78</v>
      </c>
      <c r="C46" s="12">
        <v>26</v>
      </c>
      <c r="D46" s="8">
        <v>1.36</v>
      </c>
      <c r="E46" s="12">
        <v>6</v>
      </c>
      <c r="F46" s="8">
        <v>0.49</v>
      </c>
      <c r="G46" s="12">
        <v>20</v>
      </c>
      <c r="H46" s="8">
        <v>2.91</v>
      </c>
      <c r="I46" s="12">
        <v>0</v>
      </c>
    </row>
    <row r="47" spans="2:9" ht="15" customHeight="1" x14ac:dyDescent="0.15">
      <c r="B47" t="s">
        <v>113</v>
      </c>
      <c r="C47" s="12">
        <v>24</v>
      </c>
      <c r="D47" s="8">
        <v>1.26</v>
      </c>
      <c r="E47" s="12">
        <v>14</v>
      </c>
      <c r="F47" s="8">
        <v>1.1499999999999999</v>
      </c>
      <c r="G47" s="12">
        <v>10</v>
      </c>
      <c r="H47" s="8">
        <v>1.45</v>
      </c>
      <c r="I47" s="12">
        <v>0</v>
      </c>
    </row>
    <row r="48" spans="2:9" ht="15" customHeight="1" x14ac:dyDescent="0.15">
      <c r="B48" t="s">
        <v>87</v>
      </c>
      <c r="C48" s="12">
        <v>24</v>
      </c>
      <c r="D48" s="8">
        <v>1.26</v>
      </c>
      <c r="E48" s="12">
        <v>20</v>
      </c>
      <c r="F48" s="8">
        <v>1.65</v>
      </c>
      <c r="G48" s="12">
        <v>4</v>
      </c>
      <c r="H48" s="8">
        <v>0.57999999999999996</v>
      </c>
      <c r="I48" s="12">
        <v>0</v>
      </c>
    </row>
    <row r="51" spans="2:9" ht="33" customHeight="1" x14ac:dyDescent="0.15">
      <c r="B51" t="s">
        <v>230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177</v>
      </c>
      <c r="C52" s="12">
        <v>126</v>
      </c>
      <c r="D52" s="8">
        <v>6.61</v>
      </c>
      <c r="E52" s="12">
        <v>91</v>
      </c>
      <c r="F52" s="8">
        <v>7.5</v>
      </c>
      <c r="G52" s="12">
        <v>35</v>
      </c>
      <c r="H52" s="8">
        <v>5.09</v>
      </c>
      <c r="I52" s="12">
        <v>0</v>
      </c>
    </row>
    <row r="53" spans="2:9" ht="15" customHeight="1" x14ac:dyDescent="0.15">
      <c r="B53" t="s">
        <v>141</v>
      </c>
      <c r="C53" s="12">
        <v>87</v>
      </c>
      <c r="D53" s="8">
        <v>4.57</v>
      </c>
      <c r="E53" s="12">
        <v>84</v>
      </c>
      <c r="F53" s="8">
        <v>6.92</v>
      </c>
      <c r="G53" s="12">
        <v>3</v>
      </c>
      <c r="H53" s="8">
        <v>0.44</v>
      </c>
      <c r="I53" s="12">
        <v>0</v>
      </c>
    </row>
    <row r="54" spans="2:9" ht="15" customHeight="1" x14ac:dyDescent="0.15">
      <c r="B54" t="s">
        <v>162</v>
      </c>
      <c r="C54" s="12">
        <v>76</v>
      </c>
      <c r="D54" s="8">
        <v>3.99</v>
      </c>
      <c r="E54" s="12">
        <v>41</v>
      </c>
      <c r="F54" s="8">
        <v>3.38</v>
      </c>
      <c r="G54" s="12">
        <v>34</v>
      </c>
      <c r="H54" s="8">
        <v>4.9400000000000004</v>
      </c>
      <c r="I54" s="12">
        <v>1</v>
      </c>
    </row>
    <row r="55" spans="2:9" ht="15" customHeight="1" x14ac:dyDescent="0.15">
      <c r="B55" t="s">
        <v>138</v>
      </c>
      <c r="C55" s="12">
        <v>68</v>
      </c>
      <c r="D55" s="8">
        <v>3.57</v>
      </c>
      <c r="E55" s="12">
        <v>65</v>
      </c>
      <c r="F55" s="8">
        <v>5.35</v>
      </c>
      <c r="G55" s="12">
        <v>3</v>
      </c>
      <c r="H55" s="8">
        <v>0.44</v>
      </c>
      <c r="I55" s="12">
        <v>0</v>
      </c>
    </row>
    <row r="56" spans="2:9" ht="15" customHeight="1" x14ac:dyDescent="0.15">
      <c r="B56" t="s">
        <v>140</v>
      </c>
      <c r="C56" s="12">
        <v>60</v>
      </c>
      <c r="D56" s="8">
        <v>3.15</v>
      </c>
      <c r="E56" s="12">
        <v>59</v>
      </c>
      <c r="F56" s="8">
        <v>4.8600000000000003</v>
      </c>
      <c r="G56" s="12">
        <v>1</v>
      </c>
      <c r="H56" s="8">
        <v>0.15</v>
      </c>
      <c r="I56" s="12">
        <v>0</v>
      </c>
    </row>
    <row r="57" spans="2:9" ht="15" customHeight="1" x14ac:dyDescent="0.15">
      <c r="B57" t="s">
        <v>125</v>
      </c>
      <c r="C57" s="12">
        <v>55</v>
      </c>
      <c r="D57" s="8">
        <v>2.89</v>
      </c>
      <c r="E57" s="12">
        <v>18</v>
      </c>
      <c r="F57" s="8">
        <v>1.48</v>
      </c>
      <c r="G57" s="12">
        <v>37</v>
      </c>
      <c r="H57" s="8">
        <v>5.38</v>
      </c>
      <c r="I57" s="12">
        <v>0</v>
      </c>
    </row>
    <row r="58" spans="2:9" ht="15" customHeight="1" x14ac:dyDescent="0.15">
      <c r="B58" t="s">
        <v>143</v>
      </c>
      <c r="C58" s="12">
        <v>46</v>
      </c>
      <c r="D58" s="8">
        <v>2.41</v>
      </c>
      <c r="E58" s="12">
        <v>40</v>
      </c>
      <c r="F58" s="8">
        <v>3.29</v>
      </c>
      <c r="G58" s="12">
        <v>6</v>
      </c>
      <c r="H58" s="8">
        <v>0.87</v>
      </c>
      <c r="I58" s="12">
        <v>0</v>
      </c>
    </row>
    <row r="59" spans="2:9" ht="15" customHeight="1" x14ac:dyDescent="0.15">
      <c r="B59" t="s">
        <v>130</v>
      </c>
      <c r="C59" s="12">
        <v>43</v>
      </c>
      <c r="D59" s="8">
        <v>2.2599999999999998</v>
      </c>
      <c r="E59" s="12">
        <v>26</v>
      </c>
      <c r="F59" s="8">
        <v>2.14</v>
      </c>
      <c r="G59" s="12">
        <v>17</v>
      </c>
      <c r="H59" s="8">
        <v>2.4700000000000002</v>
      </c>
      <c r="I59" s="12">
        <v>0</v>
      </c>
    </row>
    <row r="60" spans="2:9" ht="15" customHeight="1" x14ac:dyDescent="0.15">
      <c r="B60" t="s">
        <v>132</v>
      </c>
      <c r="C60" s="12">
        <v>39</v>
      </c>
      <c r="D60" s="8">
        <v>2.0499999999999998</v>
      </c>
      <c r="E60" s="12">
        <v>25</v>
      </c>
      <c r="F60" s="8">
        <v>2.06</v>
      </c>
      <c r="G60" s="12">
        <v>14</v>
      </c>
      <c r="H60" s="8">
        <v>2.0299999999999998</v>
      </c>
      <c r="I60" s="12">
        <v>0</v>
      </c>
    </row>
    <row r="61" spans="2:9" ht="15" customHeight="1" x14ac:dyDescent="0.15">
      <c r="B61" t="s">
        <v>135</v>
      </c>
      <c r="C61" s="12">
        <v>39</v>
      </c>
      <c r="D61" s="8">
        <v>2.0499999999999998</v>
      </c>
      <c r="E61" s="12">
        <v>35</v>
      </c>
      <c r="F61" s="8">
        <v>2.88</v>
      </c>
      <c r="G61" s="12">
        <v>4</v>
      </c>
      <c r="H61" s="8">
        <v>0.57999999999999996</v>
      </c>
      <c r="I61" s="12">
        <v>0</v>
      </c>
    </row>
    <row r="62" spans="2:9" ht="15" customHeight="1" x14ac:dyDescent="0.15">
      <c r="B62" t="s">
        <v>166</v>
      </c>
      <c r="C62" s="12">
        <v>34</v>
      </c>
      <c r="D62" s="8">
        <v>1.78</v>
      </c>
      <c r="E62" s="12">
        <v>28</v>
      </c>
      <c r="F62" s="8">
        <v>2.31</v>
      </c>
      <c r="G62" s="12">
        <v>6</v>
      </c>
      <c r="H62" s="8">
        <v>0.87</v>
      </c>
      <c r="I62" s="12">
        <v>0</v>
      </c>
    </row>
    <row r="63" spans="2:9" ht="15" customHeight="1" x14ac:dyDescent="0.15">
      <c r="B63" t="s">
        <v>144</v>
      </c>
      <c r="C63" s="12">
        <v>31</v>
      </c>
      <c r="D63" s="8">
        <v>1.63</v>
      </c>
      <c r="E63" s="12">
        <v>29</v>
      </c>
      <c r="F63" s="8">
        <v>2.39</v>
      </c>
      <c r="G63" s="12">
        <v>2</v>
      </c>
      <c r="H63" s="8">
        <v>0.28999999999999998</v>
      </c>
      <c r="I63" s="12">
        <v>0</v>
      </c>
    </row>
    <row r="64" spans="2:9" ht="15" customHeight="1" x14ac:dyDescent="0.15">
      <c r="B64" t="s">
        <v>129</v>
      </c>
      <c r="C64" s="12">
        <v>29</v>
      </c>
      <c r="D64" s="8">
        <v>1.52</v>
      </c>
      <c r="E64" s="12">
        <v>22</v>
      </c>
      <c r="F64" s="8">
        <v>1.81</v>
      </c>
      <c r="G64" s="12">
        <v>5</v>
      </c>
      <c r="H64" s="8">
        <v>0.73</v>
      </c>
      <c r="I64" s="12">
        <v>2</v>
      </c>
    </row>
    <row r="65" spans="2:9" ht="15" customHeight="1" x14ac:dyDescent="0.15">
      <c r="B65" t="s">
        <v>131</v>
      </c>
      <c r="C65" s="12">
        <v>29</v>
      </c>
      <c r="D65" s="8">
        <v>1.52</v>
      </c>
      <c r="E65" s="12">
        <v>18</v>
      </c>
      <c r="F65" s="8">
        <v>1.48</v>
      </c>
      <c r="G65" s="12">
        <v>11</v>
      </c>
      <c r="H65" s="8">
        <v>1.6</v>
      </c>
      <c r="I65" s="12">
        <v>0</v>
      </c>
    </row>
    <row r="66" spans="2:9" ht="15" customHeight="1" x14ac:dyDescent="0.15">
      <c r="B66" t="s">
        <v>167</v>
      </c>
      <c r="C66" s="12">
        <v>28</v>
      </c>
      <c r="D66" s="8">
        <v>1.47</v>
      </c>
      <c r="E66" s="12">
        <v>22</v>
      </c>
      <c r="F66" s="8">
        <v>1.81</v>
      </c>
      <c r="G66" s="12">
        <v>6</v>
      </c>
      <c r="H66" s="8">
        <v>0.87</v>
      </c>
      <c r="I66" s="12">
        <v>0</v>
      </c>
    </row>
    <row r="67" spans="2:9" ht="15" customHeight="1" x14ac:dyDescent="0.15">
      <c r="B67" t="s">
        <v>139</v>
      </c>
      <c r="C67" s="12">
        <v>28</v>
      </c>
      <c r="D67" s="8">
        <v>1.47</v>
      </c>
      <c r="E67" s="12">
        <v>10</v>
      </c>
      <c r="F67" s="8">
        <v>0.82</v>
      </c>
      <c r="G67" s="12">
        <v>18</v>
      </c>
      <c r="H67" s="8">
        <v>2.62</v>
      </c>
      <c r="I67" s="12">
        <v>0</v>
      </c>
    </row>
    <row r="68" spans="2:9" ht="15" customHeight="1" x14ac:dyDescent="0.15">
      <c r="B68" t="s">
        <v>126</v>
      </c>
      <c r="C68" s="12">
        <v>27</v>
      </c>
      <c r="D68" s="8">
        <v>1.42</v>
      </c>
      <c r="E68" s="12">
        <v>7</v>
      </c>
      <c r="F68" s="8">
        <v>0.57999999999999996</v>
      </c>
      <c r="G68" s="12">
        <v>20</v>
      </c>
      <c r="H68" s="8">
        <v>2.91</v>
      </c>
      <c r="I68" s="12">
        <v>0</v>
      </c>
    </row>
    <row r="69" spans="2:9" ht="15" customHeight="1" x14ac:dyDescent="0.15">
      <c r="B69" t="s">
        <v>142</v>
      </c>
      <c r="C69" s="12">
        <v>26</v>
      </c>
      <c r="D69" s="8">
        <v>1.36</v>
      </c>
      <c r="E69" s="12">
        <v>19</v>
      </c>
      <c r="F69" s="8">
        <v>1.57</v>
      </c>
      <c r="G69" s="12">
        <v>7</v>
      </c>
      <c r="H69" s="8">
        <v>1.02</v>
      </c>
      <c r="I69" s="12">
        <v>0</v>
      </c>
    </row>
    <row r="70" spans="2:9" ht="15" customHeight="1" x14ac:dyDescent="0.15">
      <c r="B70" t="s">
        <v>160</v>
      </c>
      <c r="C70" s="12">
        <v>25</v>
      </c>
      <c r="D70" s="8">
        <v>1.31</v>
      </c>
      <c r="E70" s="12">
        <v>16</v>
      </c>
      <c r="F70" s="8">
        <v>1.32</v>
      </c>
      <c r="G70" s="12">
        <v>9</v>
      </c>
      <c r="H70" s="8">
        <v>1.31</v>
      </c>
      <c r="I70" s="12">
        <v>0</v>
      </c>
    </row>
    <row r="71" spans="2:9" ht="15" customHeight="1" x14ac:dyDescent="0.15">
      <c r="B71" t="s">
        <v>136</v>
      </c>
      <c r="C71" s="12">
        <v>25</v>
      </c>
      <c r="D71" s="8">
        <v>1.31</v>
      </c>
      <c r="E71" s="12">
        <v>24</v>
      </c>
      <c r="F71" s="8">
        <v>1.98</v>
      </c>
      <c r="G71" s="12">
        <v>1</v>
      </c>
      <c r="H71" s="8">
        <v>0.15</v>
      </c>
      <c r="I71" s="12">
        <v>0</v>
      </c>
    </row>
    <row r="72" spans="2:9" ht="15" customHeight="1" x14ac:dyDescent="0.15">
      <c r="B72" t="s">
        <v>137</v>
      </c>
      <c r="C72" s="12">
        <v>25</v>
      </c>
      <c r="D72" s="8">
        <v>1.31</v>
      </c>
      <c r="E72" s="12">
        <v>25</v>
      </c>
      <c r="F72" s="8">
        <v>2.06</v>
      </c>
      <c r="G72" s="12">
        <v>0</v>
      </c>
      <c r="H72" s="8">
        <v>0</v>
      </c>
      <c r="I72" s="12">
        <v>0</v>
      </c>
    </row>
    <row r="74" spans="2:9" ht="15" customHeight="1" x14ac:dyDescent="0.15">
      <c r="B74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1153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123</v>
      </c>
      <c r="B1" s="3" t="s">
        <v>124</v>
      </c>
      <c r="C1" s="7" t="s">
        <v>67</v>
      </c>
      <c r="D1" s="7" t="s">
        <v>68</v>
      </c>
      <c r="E1" s="7" t="s">
        <v>69</v>
      </c>
      <c r="F1" s="7" t="s">
        <v>70</v>
      </c>
      <c r="G1" s="7" t="s">
        <v>71</v>
      </c>
      <c r="H1" s="7" t="s">
        <v>72</v>
      </c>
      <c r="I1" s="7" t="s">
        <v>73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89</v>
      </c>
      <c r="C3" s="4">
        <v>17167</v>
      </c>
      <c r="D3" s="8">
        <v>13.87</v>
      </c>
      <c r="E3" s="4">
        <v>15848</v>
      </c>
      <c r="F3" s="8">
        <v>21.47</v>
      </c>
      <c r="G3" s="4">
        <v>1307</v>
      </c>
      <c r="H3" s="8">
        <v>2.63</v>
      </c>
      <c r="I3" s="4">
        <v>12</v>
      </c>
    </row>
    <row r="4" spans="1:9" x14ac:dyDescent="0.15">
      <c r="A4" s="2">
        <v>2</v>
      </c>
      <c r="B4" s="1" t="s">
        <v>90</v>
      </c>
      <c r="C4" s="4">
        <v>11916</v>
      </c>
      <c r="D4" s="8">
        <v>9.6300000000000008</v>
      </c>
      <c r="E4" s="4">
        <v>10079</v>
      </c>
      <c r="F4" s="8">
        <v>13.65</v>
      </c>
      <c r="G4" s="4">
        <v>1837</v>
      </c>
      <c r="H4" s="8">
        <v>3.7</v>
      </c>
      <c r="I4" s="4">
        <v>0</v>
      </c>
    </row>
    <row r="5" spans="1:9" x14ac:dyDescent="0.15">
      <c r="A5" s="2">
        <v>3</v>
      </c>
      <c r="B5" s="1" t="s">
        <v>84</v>
      </c>
      <c r="C5" s="4">
        <v>8928</v>
      </c>
      <c r="D5" s="8">
        <v>7.21</v>
      </c>
      <c r="E5" s="4">
        <v>5331</v>
      </c>
      <c r="F5" s="8">
        <v>7.22</v>
      </c>
      <c r="G5" s="4">
        <v>3588</v>
      </c>
      <c r="H5" s="8">
        <v>7.22</v>
      </c>
      <c r="I5" s="4">
        <v>9</v>
      </c>
    </row>
    <row r="6" spans="1:9" x14ac:dyDescent="0.15">
      <c r="A6" s="2">
        <v>4</v>
      </c>
      <c r="B6" s="1" t="s">
        <v>86</v>
      </c>
      <c r="C6" s="4">
        <v>8458</v>
      </c>
      <c r="D6" s="8">
        <v>6.83</v>
      </c>
      <c r="E6" s="4">
        <v>3882</v>
      </c>
      <c r="F6" s="8">
        <v>5.26</v>
      </c>
      <c r="G6" s="4">
        <v>4554</v>
      </c>
      <c r="H6" s="8">
        <v>9.17</v>
      </c>
      <c r="I6" s="4">
        <v>22</v>
      </c>
    </row>
    <row r="7" spans="1:9" x14ac:dyDescent="0.15">
      <c r="A7" s="2">
        <v>5</v>
      </c>
      <c r="B7" s="1" t="s">
        <v>74</v>
      </c>
      <c r="C7" s="4">
        <v>6665</v>
      </c>
      <c r="D7" s="8">
        <v>5.39</v>
      </c>
      <c r="E7" s="4">
        <v>2064</v>
      </c>
      <c r="F7" s="8">
        <v>2.8</v>
      </c>
      <c r="G7" s="4">
        <v>4600</v>
      </c>
      <c r="H7" s="8">
        <v>9.26</v>
      </c>
      <c r="I7" s="4">
        <v>1</v>
      </c>
    </row>
    <row r="8" spans="1:9" x14ac:dyDescent="0.15">
      <c r="A8" s="2">
        <v>6</v>
      </c>
      <c r="B8" s="1" t="s">
        <v>82</v>
      </c>
      <c r="C8" s="4">
        <v>6303</v>
      </c>
      <c r="D8" s="8">
        <v>5.09</v>
      </c>
      <c r="E8" s="4">
        <v>4657</v>
      </c>
      <c r="F8" s="8">
        <v>6.31</v>
      </c>
      <c r="G8" s="4">
        <v>1626</v>
      </c>
      <c r="H8" s="8">
        <v>3.27</v>
      </c>
      <c r="I8" s="4">
        <v>20</v>
      </c>
    </row>
    <row r="9" spans="1:9" x14ac:dyDescent="0.15">
      <c r="A9" s="2">
        <v>7</v>
      </c>
      <c r="B9" s="1" t="s">
        <v>92</v>
      </c>
      <c r="C9" s="4">
        <v>5015</v>
      </c>
      <c r="D9" s="8">
        <v>4.05</v>
      </c>
      <c r="E9" s="4">
        <v>3835</v>
      </c>
      <c r="F9" s="8">
        <v>5.2</v>
      </c>
      <c r="G9" s="4">
        <v>1144</v>
      </c>
      <c r="H9" s="8">
        <v>2.2999999999999998</v>
      </c>
      <c r="I9" s="4">
        <v>36</v>
      </c>
    </row>
    <row r="10" spans="1:9" x14ac:dyDescent="0.15">
      <c r="A10" s="2">
        <v>8</v>
      </c>
      <c r="B10" s="1" t="s">
        <v>81</v>
      </c>
      <c r="C10" s="4">
        <v>4575</v>
      </c>
      <c r="D10" s="8">
        <v>3.7</v>
      </c>
      <c r="E10" s="4">
        <v>2512</v>
      </c>
      <c r="F10" s="8">
        <v>3.4</v>
      </c>
      <c r="G10" s="4">
        <v>2060</v>
      </c>
      <c r="H10" s="8">
        <v>4.1500000000000004</v>
      </c>
      <c r="I10" s="4">
        <v>3</v>
      </c>
    </row>
    <row r="11" spans="1:9" x14ac:dyDescent="0.15">
      <c r="A11" s="2">
        <v>9</v>
      </c>
      <c r="B11" s="1" t="s">
        <v>93</v>
      </c>
      <c r="C11" s="4">
        <v>4091</v>
      </c>
      <c r="D11" s="8">
        <v>3.31</v>
      </c>
      <c r="E11" s="4">
        <v>3668</v>
      </c>
      <c r="F11" s="8">
        <v>4.97</v>
      </c>
      <c r="G11" s="4">
        <v>422</v>
      </c>
      <c r="H11" s="8">
        <v>0.85</v>
      </c>
      <c r="I11" s="4">
        <v>1</v>
      </c>
    </row>
    <row r="12" spans="1:9" x14ac:dyDescent="0.15">
      <c r="A12" s="2">
        <v>10</v>
      </c>
      <c r="B12" s="1" t="s">
        <v>75</v>
      </c>
      <c r="C12" s="4">
        <v>3904</v>
      </c>
      <c r="D12" s="8">
        <v>3.15</v>
      </c>
      <c r="E12" s="4">
        <v>2009</v>
      </c>
      <c r="F12" s="8">
        <v>2.72</v>
      </c>
      <c r="G12" s="4">
        <v>1894</v>
      </c>
      <c r="H12" s="8">
        <v>3.81</v>
      </c>
      <c r="I12" s="4">
        <v>1</v>
      </c>
    </row>
    <row r="13" spans="1:9" x14ac:dyDescent="0.15">
      <c r="A13" s="2">
        <v>11</v>
      </c>
      <c r="B13" s="1" t="s">
        <v>83</v>
      </c>
      <c r="C13" s="4">
        <v>3657</v>
      </c>
      <c r="D13" s="8">
        <v>2.96</v>
      </c>
      <c r="E13" s="4">
        <v>2341</v>
      </c>
      <c r="F13" s="8">
        <v>3.17</v>
      </c>
      <c r="G13" s="4">
        <v>1316</v>
      </c>
      <c r="H13" s="8">
        <v>2.65</v>
      </c>
      <c r="I13" s="4">
        <v>0</v>
      </c>
    </row>
    <row r="14" spans="1:9" x14ac:dyDescent="0.15">
      <c r="A14" s="2">
        <v>12</v>
      </c>
      <c r="B14" s="1" t="s">
        <v>76</v>
      </c>
      <c r="C14" s="4">
        <v>3514</v>
      </c>
      <c r="D14" s="8">
        <v>2.84</v>
      </c>
      <c r="E14" s="4">
        <v>1238</v>
      </c>
      <c r="F14" s="8">
        <v>1.68</v>
      </c>
      <c r="G14" s="4">
        <v>2276</v>
      </c>
      <c r="H14" s="8">
        <v>4.58</v>
      </c>
      <c r="I14" s="4">
        <v>0</v>
      </c>
    </row>
    <row r="15" spans="1:9" x14ac:dyDescent="0.15">
      <c r="A15" s="2">
        <v>13</v>
      </c>
      <c r="B15" s="1" t="s">
        <v>87</v>
      </c>
      <c r="C15" s="4">
        <v>3353</v>
      </c>
      <c r="D15" s="8">
        <v>2.71</v>
      </c>
      <c r="E15" s="4">
        <v>2519</v>
      </c>
      <c r="F15" s="8">
        <v>3.41</v>
      </c>
      <c r="G15" s="4">
        <v>832</v>
      </c>
      <c r="H15" s="8">
        <v>1.67</v>
      </c>
      <c r="I15" s="4">
        <v>2</v>
      </c>
    </row>
    <row r="16" spans="1:9" x14ac:dyDescent="0.15">
      <c r="A16" s="2">
        <v>14</v>
      </c>
      <c r="B16" s="1" t="s">
        <v>88</v>
      </c>
      <c r="C16" s="4">
        <v>2241</v>
      </c>
      <c r="D16" s="8">
        <v>1.81</v>
      </c>
      <c r="E16" s="4">
        <v>1070</v>
      </c>
      <c r="F16" s="8">
        <v>1.45</v>
      </c>
      <c r="G16" s="4">
        <v>1169</v>
      </c>
      <c r="H16" s="8">
        <v>2.35</v>
      </c>
      <c r="I16" s="4">
        <v>2</v>
      </c>
    </row>
    <row r="17" spans="1:9" x14ac:dyDescent="0.15">
      <c r="A17" s="2">
        <v>15</v>
      </c>
      <c r="B17" s="1" t="s">
        <v>85</v>
      </c>
      <c r="C17" s="4">
        <v>2167</v>
      </c>
      <c r="D17" s="8">
        <v>1.75</v>
      </c>
      <c r="E17" s="4">
        <v>461</v>
      </c>
      <c r="F17" s="8">
        <v>0.62</v>
      </c>
      <c r="G17" s="4">
        <v>1705</v>
      </c>
      <c r="H17" s="8">
        <v>3.43</v>
      </c>
      <c r="I17" s="4">
        <v>1</v>
      </c>
    </row>
    <row r="18" spans="1:9" x14ac:dyDescent="0.15">
      <c r="A18" s="2">
        <v>16</v>
      </c>
      <c r="B18" s="1" t="s">
        <v>78</v>
      </c>
      <c r="C18" s="4">
        <v>1791</v>
      </c>
      <c r="D18" s="8">
        <v>1.45</v>
      </c>
      <c r="E18" s="4">
        <v>369</v>
      </c>
      <c r="F18" s="8">
        <v>0.5</v>
      </c>
      <c r="G18" s="4">
        <v>1422</v>
      </c>
      <c r="H18" s="8">
        <v>2.86</v>
      </c>
      <c r="I18" s="4">
        <v>0</v>
      </c>
    </row>
    <row r="19" spans="1:9" x14ac:dyDescent="0.15">
      <c r="A19" s="2">
        <v>17</v>
      </c>
      <c r="B19" s="1" t="s">
        <v>77</v>
      </c>
      <c r="C19" s="4">
        <v>1720</v>
      </c>
      <c r="D19" s="8">
        <v>1.39</v>
      </c>
      <c r="E19" s="4">
        <v>853</v>
      </c>
      <c r="F19" s="8">
        <v>1.1599999999999999</v>
      </c>
      <c r="G19" s="4">
        <v>867</v>
      </c>
      <c r="H19" s="8">
        <v>1.75</v>
      </c>
      <c r="I19" s="4">
        <v>0</v>
      </c>
    </row>
    <row r="20" spans="1:9" x14ac:dyDescent="0.15">
      <c r="A20" s="2">
        <v>18</v>
      </c>
      <c r="B20" s="1" t="s">
        <v>80</v>
      </c>
      <c r="C20" s="4">
        <v>1556</v>
      </c>
      <c r="D20" s="8">
        <v>1.26</v>
      </c>
      <c r="E20" s="4">
        <v>474</v>
      </c>
      <c r="F20" s="8">
        <v>0.64</v>
      </c>
      <c r="G20" s="4">
        <v>1075</v>
      </c>
      <c r="H20" s="8">
        <v>2.16</v>
      </c>
      <c r="I20" s="4">
        <v>7</v>
      </c>
    </row>
    <row r="21" spans="1:9" x14ac:dyDescent="0.15">
      <c r="A21" s="2">
        <v>19</v>
      </c>
      <c r="B21" s="1" t="s">
        <v>91</v>
      </c>
      <c r="C21" s="4">
        <v>1542</v>
      </c>
      <c r="D21" s="8">
        <v>1.25</v>
      </c>
      <c r="E21" s="4">
        <v>762</v>
      </c>
      <c r="F21" s="8">
        <v>1.03</v>
      </c>
      <c r="G21" s="4">
        <v>776</v>
      </c>
      <c r="H21" s="8">
        <v>1.56</v>
      </c>
      <c r="I21" s="4">
        <v>4</v>
      </c>
    </row>
    <row r="22" spans="1:9" x14ac:dyDescent="0.15">
      <c r="A22" s="2">
        <v>20</v>
      </c>
      <c r="B22" s="1" t="s">
        <v>79</v>
      </c>
      <c r="C22" s="4">
        <v>1478</v>
      </c>
      <c r="D22" s="8">
        <v>1.19</v>
      </c>
      <c r="E22" s="4">
        <v>240</v>
      </c>
      <c r="F22" s="8">
        <v>0.33</v>
      </c>
      <c r="G22" s="4">
        <v>1238</v>
      </c>
      <c r="H22" s="8">
        <v>2.4900000000000002</v>
      </c>
      <c r="I22" s="4">
        <v>0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89</v>
      </c>
      <c r="C25" s="4">
        <v>6501</v>
      </c>
      <c r="D25" s="8">
        <v>17.399999999999999</v>
      </c>
      <c r="E25" s="4">
        <v>5933</v>
      </c>
      <c r="F25" s="8">
        <v>28.76</v>
      </c>
      <c r="G25" s="4">
        <v>568</v>
      </c>
      <c r="H25" s="8">
        <v>3.41</v>
      </c>
      <c r="I25" s="4">
        <v>0</v>
      </c>
    </row>
    <row r="26" spans="1:9" x14ac:dyDescent="0.15">
      <c r="A26" s="2">
        <v>2</v>
      </c>
      <c r="B26" s="1" t="s">
        <v>90</v>
      </c>
      <c r="C26" s="4">
        <v>3129</v>
      </c>
      <c r="D26" s="8">
        <v>8.3699999999999992</v>
      </c>
      <c r="E26" s="4">
        <v>2553</v>
      </c>
      <c r="F26" s="8">
        <v>12.38</v>
      </c>
      <c r="G26" s="4">
        <v>576</v>
      </c>
      <c r="H26" s="8">
        <v>3.46</v>
      </c>
      <c r="I26" s="4">
        <v>0</v>
      </c>
    </row>
    <row r="27" spans="1:9" x14ac:dyDescent="0.15">
      <c r="A27" s="2">
        <v>3</v>
      </c>
      <c r="B27" s="1" t="s">
        <v>86</v>
      </c>
      <c r="C27" s="4">
        <v>2907</v>
      </c>
      <c r="D27" s="8">
        <v>7.78</v>
      </c>
      <c r="E27" s="4">
        <v>1154</v>
      </c>
      <c r="F27" s="8">
        <v>5.59</v>
      </c>
      <c r="G27" s="4">
        <v>1744</v>
      </c>
      <c r="H27" s="8">
        <v>10.47</v>
      </c>
      <c r="I27" s="4">
        <v>9</v>
      </c>
    </row>
    <row r="28" spans="1:9" x14ac:dyDescent="0.15">
      <c r="A28" s="2">
        <v>4</v>
      </c>
      <c r="B28" s="1" t="s">
        <v>84</v>
      </c>
      <c r="C28" s="4">
        <v>2378</v>
      </c>
      <c r="D28" s="8">
        <v>6.36</v>
      </c>
      <c r="E28" s="4">
        <v>1322</v>
      </c>
      <c r="F28" s="8">
        <v>6.41</v>
      </c>
      <c r="G28" s="4">
        <v>1054</v>
      </c>
      <c r="H28" s="8">
        <v>6.32</v>
      </c>
      <c r="I28" s="4">
        <v>2</v>
      </c>
    </row>
    <row r="29" spans="1:9" x14ac:dyDescent="0.15">
      <c r="A29" s="2">
        <v>5</v>
      </c>
      <c r="B29" s="1" t="s">
        <v>82</v>
      </c>
      <c r="C29" s="4">
        <v>1899</v>
      </c>
      <c r="D29" s="8">
        <v>5.08</v>
      </c>
      <c r="E29" s="4">
        <v>1282</v>
      </c>
      <c r="F29" s="8">
        <v>6.21</v>
      </c>
      <c r="G29" s="4">
        <v>615</v>
      </c>
      <c r="H29" s="8">
        <v>3.69</v>
      </c>
      <c r="I29" s="4">
        <v>2</v>
      </c>
    </row>
    <row r="30" spans="1:9" x14ac:dyDescent="0.15">
      <c r="A30" s="2">
        <v>6</v>
      </c>
      <c r="B30" s="1" t="s">
        <v>81</v>
      </c>
      <c r="C30" s="4">
        <v>1680</v>
      </c>
      <c r="D30" s="8">
        <v>4.5</v>
      </c>
      <c r="E30" s="4">
        <v>834</v>
      </c>
      <c r="F30" s="8">
        <v>4.04</v>
      </c>
      <c r="G30" s="4">
        <v>846</v>
      </c>
      <c r="H30" s="8">
        <v>5.08</v>
      </c>
      <c r="I30" s="4">
        <v>0</v>
      </c>
    </row>
    <row r="31" spans="1:9" x14ac:dyDescent="0.15">
      <c r="A31" s="2">
        <v>7</v>
      </c>
      <c r="B31" s="1" t="s">
        <v>87</v>
      </c>
      <c r="C31" s="4">
        <v>1434</v>
      </c>
      <c r="D31" s="8">
        <v>3.84</v>
      </c>
      <c r="E31" s="4">
        <v>1029</v>
      </c>
      <c r="F31" s="8">
        <v>4.99</v>
      </c>
      <c r="G31" s="4">
        <v>403</v>
      </c>
      <c r="H31" s="8">
        <v>2.42</v>
      </c>
      <c r="I31" s="4">
        <v>2</v>
      </c>
    </row>
    <row r="32" spans="1:9" x14ac:dyDescent="0.15">
      <c r="A32" s="2">
        <v>8</v>
      </c>
      <c r="B32" s="1" t="s">
        <v>92</v>
      </c>
      <c r="C32" s="4">
        <v>1390</v>
      </c>
      <c r="D32" s="8">
        <v>3.72</v>
      </c>
      <c r="E32" s="4">
        <v>1002</v>
      </c>
      <c r="F32" s="8">
        <v>4.8600000000000003</v>
      </c>
      <c r="G32" s="4">
        <v>373</v>
      </c>
      <c r="H32" s="8">
        <v>2.2400000000000002</v>
      </c>
      <c r="I32" s="4">
        <v>15</v>
      </c>
    </row>
    <row r="33" spans="1:9" x14ac:dyDescent="0.15">
      <c r="A33" s="2">
        <v>9</v>
      </c>
      <c r="B33" s="1" t="s">
        <v>74</v>
      </c>
      <c r="C33" s="4">
        <v>1326</v>
      </c>
      <c r="D33" s="8">
        <v>3.55</v>
      </c>
      <c r="E33" s="4">
        <v>264</v>
      </c>
      <c r="F33" s="8">
        <v>1.28</v>
      </c>
      <c r="G33" s="4">
        <v>1061</v>
      </c>
      <c r="H33" s="8">
        <v>6.37</v>
      </c>
      <c r="I33" s="4">
        <v>1</v>
      </c>
    </row>
    <row r="34" spans="1:9" x14ac:dyDescent="0.15">
      <c r="A34" s="2">
        <v>10</v>
      </c>
      <c r="B34" s="1" t="s">
        <v>93</v>
      </c>
      <c r="C34" s="4">
        <v>1309</v>
      </c>
      <c r="D34" s="8">
        <v>3.5</v>
      </c>
      <c r="E34" s="4">
        <v>1129</v>
      </c>
      <c r="F34" s="8">
        <v>5.47</v>
      </c>
      <c r="G34" s="4">
        <v>180</v>
      </c>
      <c r="H34" s="8">
        <v>1.08</v>
      </c>
      <c r="I34" s="4">
        <v>0</v>
      </c>
    </row>
    <row r="35" spans="1:9" x14ac:dyDescent="0.15">
      <c r="A35" s="2">
        <v>11</v>
      </c>
      <c r="B35" s="1" t="s">
        <v>76</v>
      </c>
      <c r="C35" s="4">
        <v>852</v>
      </c>
      <c r="D35" s="8">
        <v>2.2799999999999998</v>
      </c>
      <c r="E35" s="4">
        <v>197</v>
      </c>
      <c r="F35" s="8">
        <v>0.95</v>
      </c>
      <c r="G35" s="4">
        <v>655</v>
      </c>
      <c r="H35" s="8">
        <v>3.93</v>
      </c>
      <c r="I35" s="4">
        <v>0</v>
      </c>
    </row>
    <row r="36" spans="1:9" x14ac:dyDescent="0.15">
      <c r="A36" s="2">
        <v>12</v>
      </c>
      <c r="B36" s="1" t="s">
        <v>75</v>
      </c>
      <c r="C36" s="4">
        <v>829</v>
      </c>
      <c r="D36" s="8">
        <v>2.2200000000000002</v>
      </c>
      <c r="E36" s="4">
        <v>254</v>
      </c>
      <c r="F36" s="8">
        <v>1.23</v>
      </c>
      <c r="G36" s="4">
        <v>574</v>
      </c>
      <c r="H36" s="8">
        <v>3.44</v>
      </c>
      <c r="I36" s="4">
        <v>1</v>
      </c>
    </row>
    <row r="37" spans="1:9" x14ac:dyDescent="0.15">
      <c r="A37" s="2">
        <v>13</v>
      </c>
      <c r="B37" s="1" t="s">
        <v>83</v>
      </c>
      <c r="C37" s="4">
        <v>808</v>
      </c>
      <c r="D37" s="8">
        <v>2.16</v>
      </c>
      <c r="E37" s="4">
        <v>447</v>
      </c>
      <c r="F37" s="8">
        <v>2.17</v>
      </c>
      <c r="G37" s="4">
        <v>361</v>
      </c>
      <c r="H37" s="8">
        <v>2.17</v>
      </c>
      <c r="I37" s="4">
        <v>0</v>
      </c>
    </row>
    <row r="38" spans="1:9" x14ac:dyDescent="0.15">
      <c r="A38" s="2">
        <v>14</v>
      </c>
      <c r="B38" s="1" t="s">
        <v>85</v>
      </c>
      <c r="C38" s="4">
        <v>772</v>
      </c>
      <c r="D38" s="8">
        <v>2.0699999999999998</v>
      </c>
      <c r="E38" s="4">
        <v>141</v>
      </c>
      <c r="F38" s="8">
        <v>0.68</v>
      </c>
      <c r="G38" s="4">
        <v>630</v>
      </c>
      <c r="H38" s="8">
        <v>3.78</v>
      </c>
      <c r="I38" s="4">
        <v>1</v>
      </c>
    </row>
    <row r="39" spans="1:9" x14ac:dyDescent="0.15">
      <c r="A39" s="2">
        <v>15</v>
      </c>
      <c r="B39" s="1" t="s">
        <v>88</v>
      </c>
      <c r="C39" s="4">
        <v>739</v>
      </c>
      <c r="D39" s="8">
        <v>1.98</v>
      </c>
      <c r="E39" s="4">
        <v>293</v>
      </c>
      <c r="F39" s="8">
        <v>1.42</v>
      </c>
      <c r="G39" s="4">
        <v>444</v>
      </c>
      <c r="H39" s="8">
        <v>2.66</v>
      </c>
      <c r="I39" s="4">
        <v>2</v>
      </c>
    </row>
    <row r="40" spans="1:9" x14ac:dyDescent="0.15">
      <c r="A40" s="2">
        <v>16</v>
      </c>
      <c r="B40" s="1" t="s">
        <v>80</v>
      </c>
      <c r="C40" s="4">
        <v>573</v>
      </c>
      <c r="D40" s="8">
        <v>1.53</v>
      </c>
      <c r="E40" s="4">
        <v>126</v>
      </c>
      <c r="F40" s="8">
        <v>0.61</v>
      </c>
      <c r="G40" s="4">
        <v>445</v>
      </c>
      <c r="H40" s="8">
        <v>2.67</v>
      </c>
      <c r="I40" s="4">
        <v>2</v>
      </c>
    </row>
    <row r="41" spans="1:9" x14ac:dyDescent="0.15">
      <c r="A41" s="2">
        <v>17</v>
      </c>
      <c r="B41" s="1" t="s">
        <v>78</v>
      </c>
      <c r="C41" s="4">
        <v>543</v>
      </c>
      <c r="D41" s="8">
        <v>1.45</v>
      </c>
      <c r="E41" s="4">
        <v>87</v>
      </c>
      <c r="F41" s="8">
        <v>0.42</v>
      </c>
      <c r="G41" s="4">
        <v>456</v>
      </c>
      <c r="H41" s="8">
        <v>2.74</v>
      </c>
      <c r="I41" s="4">
        <v>0</v>
      </c>
    </row>
    <row r="42" spans="1:9" x14ac:dyDescent="0.15">
      <c r="A42" s="2">
        <v>18</v>
      </c>
      <c r="B42" s="1" t="s">
        <v>91</v>
      </c>
      <c r="C42" s="4">
        <v>542</v>
      </c>
      <c r="D42" s="8">
        <v>1.45</v>
      </c>
      <c r="E42" s="4">
        <v>221</v>
      </c>
      <c r="F42" s="8">
        <v>1.07</v>
      </c>
      <c r="G42" s="4">
        <v>320</v>
      </c>
      <c r="H42" s="8">
        <v>1.92</v>
      </c>
      <c r="I42" s="4">
        <v>1</v>
      </c>
    </row>
    <row r="43" spans="1:9" x14ac:dyDescent="0.15">
      <c r="A43" s="2">
        <v>19</v>
      </c>
      <c r="B43" s="1" t="s">
        <v>79</v>
      </c>
      <c r="C43" s="4">
        <v>518</v>
      </c>
      <c r="D43" s="8">
        <v>1.39</v>
      </c>
      <c r="E43" s="4">
        <v>53</v>
      </c>
      <c r="F43" s="8">
        <v>0.26</v>
      </c>
      <c r="G43" s="4">
        <v>465</v>
      </c>
      <c r="H43" s="8">
        <v>2.79</v>
      </c>
      <c r="I43" s="4">
        <v>0</v>
      </c>
    </row>
    <row r="44" spans="1:9" x14ac:dyDescent="0.15">
      <c r="A44" s="2">
        <v>20</v>
      </c>
      <c r="B44" s="1" t="s">
        <v>94</v>
      </c>
      <c r="C44" s="4">
        <v>464</v>
      </c>
      <c r="D44" s="8">
        <v>1.24</v>
      </c>
      <c r="E44" s="4">
        <v>18</v>
      </c>
      <c r="F44" s="8">
        <v>0.09</v>
      </c>
      <c r="G44" s="4">
        <v>437</v>
      </c>
      <c r="H44" s="8">
        <v>2.62</v>
      </c>
      <c r="I44" s="4">
        <v>9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89</v>
      </c>
      <c r="C47" s="4">
        <v>486</v>
      </c>
      <c r="D47" s="8">
        <v>12.3</v>
      </c>
      <c r="E47" s="4">
        <v>421</v>
      </c>
      <c r="F47" s="8">
        <v>22.53</v>
      </c>
      <c r="G47" s="4">
        <v>65</v>
      </c>
      <c r="H47" s="8">
        <v>3.14</v>
      </c>
      <c r="I47" s="4">
        <v>0</v>
      </c>
    </row>
    <row r="48" spans="1:9" x14ac:dyDescent="0.15">
      <c r="A48" s="2">
        <v>2</v>
      </c>
      <c r="B48" s="1" t="s">
        <v>90</v>
      </c>
      <c r="C48" s="4">
        <v>414</v>
      </c>
      <c r="D48" s="8">
        <v>10.48</v>
      </c>
      <c r="E48" s="4">
        <v>308</v>
      </c>
      <c r="F48" s="8">
        <v>16.48</v>
      </c>
      <c r="G48" s="4">
        <v>106</v>
      </c>
      <c r="H48" s="8">
        <v>5.12</v>
      </c>
      <c r="I48" s="4">
        <v>0</v>
      </c>
    </row>
    <row r="49" spans="1:9" x14ac:dyDescent="0.15">
      <c r="A49" s="2">
        <v>3</v>
      </c>
      <c r="B49" s="1" t="s">
        <v>86</v>
      </c>
      <c r="C49" s="4">
        <v>328</v>
      </c>
      <c r="D49" s="8">
        <v>8.3000000000000007</v>
      </c>
      <c r="E49" s="4">
        <v>65</v>
      </c>
      <c r="F49" s="8">
        <v>3.48</v>
      </c>
      <c r="G49" s="4">
        <v>263</v>
      </c>
      <c r="H49" s="8">
        <v>12.71</v>
      </c>
      <c r="I49" s="4">
        <v>0</v>
      </c>
    </row>
    <row r="50" spans="1:9" x14ac:dyDescent="0.15">
      <c r="A50" s="2">
        <v>4</v>
      </c>
      <c r="B50" s="1" t="s">
        <v>84</v>
      </c>
      <c r="C50" s="4">
        <v>236</v>
      </c>
      <c r="D50" s="8">
        <v>5.97</v>
      </c>
      <c r="E50" s="4">
        <v>140</v>
      </c>
      <c r="F50" s="8">
        <v>7.49</v>
      </c>
      <c r="G50" s="4">
        <v>95</v>
      </c>
      <c r="H50" s="8">
        <v>4.59</v>
      </c>
      <c r="I50" s="4">
        <v>1</v>
      </c>
    </row>
    <row r="51" spans="1:9" x14ac:dyDescent="0.15">
      <c r="A51" s="2">
        <v>5</v>
      </c>
      <c r="B51" s="1" t="s">
        <v>92</v>
      </c>
      <c r="C51" s="4">
        <v>232</v>
      </c>
      <c r="D51" s="8">
        <v>5.87</v>
      </c>
      <c r="E51" s="4">
        <v>144</v>
      </c>
      <c r="F51" s="8">
        <v>7.7</v>
      </c>
      <c r="G51" s="4">
        <v>83</v>
      </c>
      <c r="H51" s="8">
        <v>4.01</v>
      </c>
      <c r="I51" s="4">
        <v>5</v>
      </c>
    </row>
    <row r="52" spans="1:9" x14ac:dyDescent="0.15">
      <c r="A52" s="2">
        <v>6</v>
      </c>
      <c r="B52" s="1" t="s">
        <v>82</v>
      </c>
      <c r="C52" s="4">
        <v>201</v>
      </c>
      <c r="D52" s="8">
        <v>5.09</v>
      </c>
      <c r="E52" s="4">
        <v>128</v>
      </c>
      <c r="F52" s="8">
        <v>6.85</v>
      </c>
      <c r="G52" s="4">
        <v>73</v>
      </c>
      <c r="H52" s="8">
        <v>3.53</v>
      </c>
      <c r="I52" s="4">
        <v>0</v>
      </c>
    </row>
    <row r="53" spans="1:9" x14ac:dyDescent="0.15">
      <c r="A53" s="2">
        <v>7</v>
      </c>
      <c r="B53" s="1" t="s">
        <v>93</v>
      </c>
      <c r="C53" s="4">
        <v>191</v>
      </c>
      <c r="D53" s="8">
        <v>4.83</v>
      </c>
      <c r="E53" s="4">
        <v>160</v>
      </c>
      <c r="F53" s="8">
        <v>8.56</v>
      </c>
      <c r="G53" s="4">
        <v>31</v>
      </c>
      <c r="H53" s="8">
        <v>1.5</v>
      </c>
      <c r="I53" s="4">
        <v>0</v>
      </c>
    </row>
    <row r="54" spans="1:9" x14ac:dyDescent="0.15">
      <c r="A54" s="2">
        <v>8</v>
      </c>
      <c r="B54" s="1" t="s">
        <v>81</v>
      </c>
      <c r="C54" s="4">
        <v>147</v>
      </c>
      <c r="D54" s="8">
        <v>3.72</v>
      </c>
      <c r="E54" s="4">
        <v>90</v>
      </c>
      <c r="F54" s="8">
        <v>4.82</v>
      </c>
      <c r="G54" s="4">
        <v>57</v>
      </c>
      <c r="H54" s="8">
        <v>2.75</v>
      </c>
      <c r="I54" s="4">
        <v>0</v>
      </c>
    </row>
    <row r="55" spans="1:9" x14ac:dyDescent="0.15">
      <c r="A55" s="2">
        <v>9</v>
      </c>
      <c r="B55" s="1" t="s">
        <v>74</v>
      </c>
      <c r="C55" s="4">
        <v>145</v>
      </c>
      <c r="D55" s="8">
        <v>3.67</v>
      </c>
      <c r="E55" s="4">
        <v>20</v>
      </c>
      <c r="F55" s="8">
        <v>1.07</v>
      </c>
      <c r="G55" s="4">
        <v>125</v>
      </c>
      <c r="H55" s="8">
        <v>6.04</v>
      </c>
      <c r="I55" s="4">
        <v>0</v>
      </c>
    </row>
    <row r="56" spans="1:9" x14ac:dyDescent="0.15">
      <c r="A56" s="2">
        <v>10</v>
      </c>
      <c r="B56" s="1" t="s">
        <v>87</v>
      </c>
      <c r="C56" s="4">
        <v>143</v>
      </c>
      <c r="D56" s="8">
        <v>3.62</v>
      </c>
      <c r="E56" s="4">
        <v>65</v>
      </c>
      <c r="F56" s="8">
        <v>3.48</v>
      </c>
      <c r="G56" s="4">
        <v>78</v>
      </c>
      <c r="H56" s="8">
        <v>3.77</v>
      </c>
      <c r="I56" s="4">
        <v>0</v>
      </c>
    </row>
    <row r="57" spans="1:9" x14ac:dyDescent="0.15">
      <c r="A57" s="2">
        <v>11</v>
      </c>
      <c r="B57" s="1" t="s">
        <v>75</v>
      </c>
      <c r="C57" s="4">
        <v>92</v>
      </c>
      <c r="D57" s="8">
        <v>2.33</v>
      </c>
      <c r="E57" s="4">
        <v>31</v>
      </c>
      <c r="F57" s="8">
        <v>1.66</v>
      </c>
      <c r="G57" s="4">
        <v>60</v>
      </c>
      <c r="H57" s="8">
        <v>2.9</v>
      </c>
      <c r="I57" s="4">
        <v>1</v>
      </c>
    </row>
    <row r="58" spans="1:9" x14ac:dyDescent="0.15">
      <c r="A58" s="2">
        <v>11</v>
      </c>
      <c r="B58" s="1" t="s">
        <v>85</v>
      </c>
      <c r="C58" s="4">
        <v>92</v>
      </c>
      <c r="D58" s="8">
        <v>2.33</v>
      </c>
      <c r="E58" s="4">
        <v>21</v>
      </c>
      <c r="F58" s="8">
        <v>1.1200000000000001</v>
      </c>
      <c r="G58" s="4">
        <v>71</v>
      </c>
      <c r="H58" s="8">
        <v>3.43</v>
      </c>
      <c r="I58" s="4">
        <v>0</v>
      </c>
    </row>
    <row r="59" spans="1:9" x14ac:dyDescent="0.15">
      <c r="A59" s="2">
        <v>13</v>
      </c>
      <c r="B59" s="1" t="s">
        <v>83</v>
      </c>
      <c r="C59" s="4">
        <v>84</v>
      </c>
      <c r="D59" s="8">
        <v>2.13</v>
      </c>
      <c r="E59" s="4">
        <v>35</v>
      </c>
      <c r="F59" s="8">
        <v>1.87</v>
      </c>
      <c r="G59" s="4">
        <v>49</v>
      </c>
      <c r="H59" s="8">
        <v>2.37</v>
      </c>
      <c r="I59" s="4">
        <v>0</v>
      </c>
    </row>
    <row r="60" spans="1:9" x14ac:dyDescent="0.15">
      <c r="A60" s="2">
        <v>14</v>
      </c>
      <c r="B60" s="1" t="s">
        <v>88</v>
      </c>
      <c r="C60" s="4">
        <v>79</v>
      </c>
      <c r="D60" s="8">
        <v>2</v>
      </c>
      <c r="E60" s="4">
        <v>37</v>
      </c>
      <c r="F60" s="8">
        <v>1.98</v>
      </c>
      <c r="G60" s="4">
        <v>42</v>
      </c>
      <c r="H60" s="8">
        <v>2.0299999999999998</v>
      </c>
      <c r="I60" s="4">
        <v>0</v>
      </c>
    </row>
    <row r="61" spans="1:9" x14ac:dyDescent="0.15">
      <c r="A61" s="2">
        <v>15</v>
      </c>
      <c r="B61" s="1" t="s">
        <v>76</v>
      </c>
      <c r="C61" s="4">
        <v>71</v>
      </c>
      <c r="D61" s="8">
        <v>1.8</v>
      </c>
      <c r="E61" s="4">
        <v>12</v>
      </c>
      <c r="F61" s="8">
        <v>0.64</v>
      </c>
      <c r="G61" s="4">
        <v>59</v>
      </c>
      <c r="H61" s="8">
        <v>2.85</v>
      </c>
      <c r="I61" s="4">
        <v>0</v>
      </c>
    </row>
    <row r="62" spans="1:9" x14ac:dyDescent="0.15">
      <c r="A62" s="2">
        <v>16</v>
      </c>
      <c r="B62" s="1" t="s">
        <v>91</v>
      </c>
      <c r="C62" s="4">
        <v>68</v>
      </c>
      <c r="D62" s="8">
        <v>1.72</v>
      </c>
      <c r="E62" s="4">
        <v>29</v>
      </c>
      <c r="F62" s="8">
        <v>1.55</v>
      </c>
      <c r="G62" s="4">
        <v>39</v>
      </c>
      <c r="H62" s="8">
        <v>1.88</v>
      </c>
      <c r="I62" s="4">
        <v>0</v>
      </c>
    </row>
    <row r="63" spans="1:9" x14ac:dyDescent="0.15">
      <c r="A63" s="2">
        <v>17</v>
      </c>
      <c r="B63" s="1" t="s">
        <v>96</v>
      </c>
      <c r="C63" s="4">
        <v>66</v>
      </c>
      <c r="D63" s="8">
        <v>1.67</v>
      </c>
      <c r="E63" s="4">
        <v>9</v>
      </c>
      <c r="F63" s="8">
        <v>0.48</v>
      </c>
      <c r="G63" s="4">
        <v>57</v>
      </c>
      <c r="H63" s="8">
        <v>2.75</v>
      </c>
      <c r="I63" s="4">
        <v>0</v>
      </c>
    </row>
    <row r="64" spans="1:9" x14ac:dyDescent="0.15">
      <c r="A64" s="2">
        <v>18</v>
      </c>
      <c r="B64" s="1" t="s">
        <v>80</v>
      </c>
      <c r="C64" s="4">
        <v>65</v>
      </c>
      <c r="D64" s="8">
        <v>1.64</v>
      </c>
      <c r="E64" s="4">
        <v>7</v>
      </c>
      <c r="F64" s="8">
        <v>0.37</v>
      </c>
      <c r="G64" s="4">
        <v>56</v>
      </c>
      <c r="H64" s="8">
        <v>2.71</v>
      </c>
      <c r="I64" s="4">
        <v>2</v>
      </c>
    </row>
    <row r="65" spans="1:9" x14ac:dyDescent="0.15">
      <c r="A65" s="2">
        <v>19</v>
      </c>
      <c r="B65" s="1" t="s">
        <v>95</v>
      </c>
      <c r="C65" s="4">
        <v>56</v>
      </c>
      <c r="D65" s="8">
        <v>1.42</v>
      </c>
      <c r="E65" s="4">
        <v>2</v>
      </c>
      <c r="F65" s="8">
        <v>0.11</v>
      </c>
      <c r="G65" s="4">
        <v>54</v>
      </c>
      <c r="H65" s="8">
        <v>2.61</v>
      </c>
      <c r="I65" s="4">
        <v>0</v>
      </c>
    </row>
    <row r="66" spans="1:9" x14ac:dyDescent="0.15">
      <c r="A66" s="2">
        <v>20</v>
      </c>
      <c r="B66" s="1" t="s">
        <v>97</v>
      </c>
      <c r="C66" s="4">
        <v>51</v>
      </c>
      <c r="D66" s="8">
        <v>1.29</v>
      </c>
      <c r="E66" s="4">
        <v>4</v>
      </c>
      <c r="F66" s="8">
        <v>0.21</v>
      </c>
      <c r="G66" s="4">
        <v>46</v>
      </c>
      <c r="H66" s="8">
        <v>2.2200000000000002</v>
      </c>
      <c r="I66" s="4">
        <v>1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89</v>
      </c>
      <c r="C69" s="4">
        <v>548</v>
      </c>
      <c r="D69" s="8">
        <v>16.89</v>
      </c>
      <c r="E69" s="4">
        <v>508</v>
      </c>
      <c r="F69" s="8">
        <v>26.39</v>
      </c>
      <c r="G69" s="4">
        <v>40</v>
      </c>
      <c r="H69" s="8">
        <v>3.03</v>
      </c>
      <c r="I69" s="4">
        <v>0</v>
      </c>
    </row>
    <row r="70" spans="1:9" x14ac:dyDescent="0.15">
      <c r="A70" s="2">
        <v>2</v>
      </c>
      <c r="B70" s="1" t="s">
        <v>90</v>
      </c>
      <c r="C70" s="4">
        <v>324</v>
      </c>
      <c r="D70" s="8">
        <v>9.98</v>
      </c>
      <c r="E70" s="4">
        <v>280</v>
      </c>
      <c r="F70" s="8">
        <v>14.55</v>
      </c>
      <c r="G70" s="4">
        <v>44</v>
      </c>
      <c r="H70" s="8">
        <v>3.34</v>
      </c>
      <c r="I70" s="4">
        <v>0</v>
      </c>
    </row>
    <row r="71" spans="1:9" x14ac:dyDescent="0.15">
      <c r="A71" s="2">
        <v>3</v>
      </c>
      <c r="B71" s="1" t="s">
        <v>86</v>
      </c>
      <c r="C71" s="4">
        <v>257</v>
      </c>
      <c r="D71" s="8">
        <v>7.92</v>
      </c>
      <c r="E71" s="4">
        <v>110</v>
      </c>
      <c r="F71" s="8">
        <v>5.71</v>
      </c>
      <c r="G71" s="4">
        <v>147</v>
      </c>
      <c r="H71" s="8">
        <v>11.14</v>
      </c>
      <c r="I71" s="4">
        <v>0</v>
      </c>
    </row>
    <row r="72" spans="1:9" x14ac:dyDescent="0.15">
      <c r="A72" s="2">
        <v>4</v>
      </c>
      <c r="B72" s="1" t="s">
        <v>84</v>
      </c>
      <c r="C72" s="4">
        <v>234</v>
      </c>
      <c r="D72" s="8">
        <v>7.21</v>
      </c>
      <c r="E72" s="4">
        <v>159</v>
      </c>
      <c r="F72" s="8">
        <v>8.26</v>
      </c>
      <c r="G72" s="4">
        <v>75</v>
      </c>
      <c r="H72" s="8">
        <v>5.69</v>
      </c>
      <c r="I72" s="4">
        <v>0</v>
      </c>
    </row>
    <row r="73" spans="1:9" x14ac:dyDescent="0.15">
      <c r="A73" s="2">
        <v>5</v>
      </c>
      <c r="B73" s="1" t="s">
        <v>82</v>
      </c>
      <c r="C73" s="4">
        <v>210</v>
      </c>
      <c r="D73" s="8">
        <v>6.47</v>
      </c>
      <c r="E73" s="4">
        <v>154</v>
      </c>
      <c r="F73" s="8">
        <v>8</v>
      </c>
      <c r="G73" s="4">
        <v>56</v>
      </c>
      <c r="H73" s="8">
        <v>4.25</v>
      </c>
      <c r="I73" s="4">
        <v>0</v>
      </c>
    </row>
    <row r="74" spans="1:9" x14ac:dyDescent="0.15">
      <c r="A74" s="2">
        <v>6</v>
      </c>
      <c r="B74" s="1" t="s">
        <v>93</v>
      </c>
      <c r="C74" s="4">
        <v>162</v>
      </c>
      <c r="D74" s="8">
        <v>4.99</v>
      </c>
      <c r="E74" s="4">
        <v>141</v>
      </c>
      <c r="F74" s="8">
        <v>7.32</v>
      </c>
      <c r="G74" s="4">
        <v>21</v>
      </c>
      <c r="H74" s="8">
        <v>1.59</v>
      </c>
      <c r="I74" s="4">
        <v>0</v>
      </c>
    </row>
    <row r="75" spans="1:9" x14ac:dyDescent="0.15">
      <c r="A75" s="2">
        <v>7</v>
      </c>
      <c r="B75" s="1" t="s">
        <v>92</v>
      </c>
      <c r="C75" s="4">
        <v>131</v>
      </c>
      <c r="D75" s="8">
        <v>4.04</v>
      </c>
      <c r="E75" s="4">
        <v>90</v>
      </c>
      <c r="F75" s="8">
        <v>4.68</v>
      </c>
      <c r="G75" s="4">
        <v>41</v>
      </c>
      <c r="H75" s="8">
        <v>3.11</v>
      </c>
      <c r="I75" s="4">
        <v>0</v>
      </c>
    </row>
    <row r="76" spans="1:9" x14ac:dyDescent="0.15">
      <c r="A76" s="2">
        <v>8</v>
      </c>
      <c r="B76" s="1" t="s">
        <v>74</v>
      </c>
      <c r="C76" s="4">
        <v>120</v>
      </c>
      <c r="D76" s="8">
        <v>3.7</v>
      </c>
      <c r="E76" s="4">
        <v>28</v>
      </c>
      <c r="F76" s="8">
        <v>1.45</v>
      </c>
      <c r="G76" s="4">
        <v>92</v>
      </c>
      <c r="H76" s="8">
        <v>6.97</v>
      </c>
      <c r="I76" s="4">
        <v>0</v>
      </c>
    </row>
    <row r="77" spans="1:9" x14ac:dyDescent="0.15">
      <c r="A77" s="2">
        <v>9</v>
      </c>
      <c r="B77" s="1" t="s">
        <v>81</v>
      </c>
      <c r="C77" s="4">
        <v>119</v>
      </c>
      <c r="D77" s="8">
        <v>3.67</v>
      </c>
      <c r="E77" s="4">
        <v>83</v>
      </c>
      <c r="F77" s="8">
        <v>4.3099999999999996</v>
      </c>
      <c r="G77" s="4">
        <v>36</v>
      </c>
      <c r="H77" s="8">
        <v>2.73</v>
      </c>
      <c r="I77" s="4">
        <v>0</v>
      </c>
    </row>
    <row r="78" spans="1:9" x14ac:dyDescent="0.15">
      <c r="A78" s="2">
        <v>10</v>
      </c>
      <c r="B78" s="1" t="s">
        <v>85</v>
      </c>
      <c r="C78" s="4">
        <v>101</v>
      </c>
      <c r="D78" s="8">
        <v>3.11</v>
      </c>
      <c r="E78" s="4">
        <v>13</v>
      </c>
      <c r="F78" s="8">
        <v>0.68</v>
      </c>
      <c r="G78" s="4">
        <v>88</v>
      </c>
      <c r="H78" s="8">
        <v>6.67</v>
      </c>
      <c r="I78" s="4">
        <v>0</v>
      </c>
    </row>
    <row r="79" spans="1:9" x14ac:dyDescent="0.15">
      <c r="A79" s="2">
        <v>11</v>
      </c>
      <c r="B79" s="1" t="s">
        <v>76</v>
      </c>
      <c r="C79" s="4">
        <v>99</v>
      </c>
      <c r="D79" s="8">
        <v>3.05</v>
      </c>
      <c r="E79" s="4">
        <v>21</v>
      </c>
      <c r="F79" s="8">
        <v>1.0900000000000001</v>
      </c>
      <c r="G79" s="4">
        <v>78</v>
      </c>
      <c r="H79" s="8">
        <v>5.91</v>
      </c>
      <c r="I79" s="4">
        <v>0</v>
      </c>
    </row>
    <row r="80" spans="1:9" x14ac:dyDescent="0.15">
      <c r="A80" s="2">
        <v>12</v>
      </c>
      <c r="B80" s="1" t="s">
        <v>83</v>
      </c>
      <c r="C80" s="4">
        <v>81</v>
      </c>
      <c r="D80" s="8">
        <v>2.5</v>
      </c>
      <c r="E80" s="4">
        <v>48</v>
      </c>
      <c r="F80" s="8">
        <v>2.4900000000000002</v>
      </c>
      <c r="G80" s="4">
        <v>33</v>
      </c>
      <c r="H80" s="8">
        <v>2.5</v>
      </c>
      <c r="I80" s="4">
        <v>0</v>
      </c>
    </row>
    <row r="81" spans="1:9" x14ac:dyDescent="0.15">
      <c r="A81" s="2">
        <v>13</v>
      </c>
      <c r="B81" s="1" t="s">
        <v>75</v>
      </c>
      <c r="C81" s="4">
        <v>76</v>
      </c>
      <c r="D81" s="8">
        <v>2.34</v>
      </c>
      <c r="E81" s="4">
        <v>17</v>
      </c>
      <c r="F81" s="8">
        <v>0.88</v>
      </c>
      <c r="G81" s="4">
        <v>59</v>
      </c>
      <c r="H81" s="8">
        <v>4.47</v>
      </c>
      <c r="I81" s="4">
        <v>0</v>
      </c>
    </row>
    <row r="82" spans="1:9" x14ac:dyDescent="0.15">
      <c r="A82" s="2">
        <v>14</v>
      </c>
      <c r="B82" s="1" t="s">
        <v>87</v>
      </c>
      <c r="C82" s="4">
        <v>75</v>
      </c>
      <c r="D82" s="8">
        <v>2.31</v>
      </c>
      <c r="E82" s="4">
        <v>50</v>
      </c>
      <c r="F82" s="8">
        <v>2.6</v>
      </c>
      <c r="G82" s="4">
        <v>25</v>
      </c>
      <c r="H82" s="8">
        <v>1.9</v>
      </c>
      <c r="I82" s="4">
        <v>0</v>
      </c>
    </row>
    <row r="83" spans="1:9" x14ac:dyDescent="0.15">
      <c r="A83" s="2">
        <v>15</v>
      </c>
      <c r="B83" s="1" t="s">
        <v>88</v>
      </c>
      <c r="C83" s="4">
        <v>62</v>
      </c>
      <c r="D83" s="8">
        <v>1.91</v>
      </c>
      <c r="E83" s="4">
        <v>38</v>
      </c>
      <c r="F83" s="8">
        <v>1.97</v>
      </c>
      <c r="G83" s="4">
        <v>23</v>
      </c>
      <c r="H83" s="8">
        <v>1.74</v>
      </c>
      <c r="I83" s="4">
        <v>1</v>
      </c>
    </row>
    <row r="84" spans="1:9" x14ac:dyDescent="0.15">
      <c r="A84" s="2">
        <v>16</v>
      </c>
      <c r="B84" s="1" t="s">
        <v>94</v>
      </c>
      <c r="C84" s="4">
        <v>50</v>
      </c>
      <c r="D84" s="8">
        <v>1.54</v>
      </c>
      <c r="E84" s="4">
        <v>1</v>
      </c>
      <c r="F84" s="8">
        <v>0.05</v>
      </c>
      <c r="G84" s="4">
        <v>49</v>
      </c>
      <c r="H84" s="8">
        <v>3.71</v>
      </c>
      <c r="I84" s="4">
        <v>0</v>
      </c>
    </row>
    <row r="85" spans="1:9" x14ac:dyDescent="0.15">
      <c r="A85" s="2">
        <v>17</v>
      </c>
      <c r="B85" s="1" t="s">
        <v>78</v>
      </c>
      <c r="C85" s="4">
        <v>42</v>
      </c>
      <c r="D85" s="8">
        <v>1.29</v>
      </c>
      <c r="E85" s="4">
        <v>7</v>
      </c>
      <c r="F85" s="8">
        <v>0.36</v>
      </c>
      <c r="G85" s="4">
        <v>35</v>
      </c>
      <c r="H85" s="8">
        <v>2.65</v>
      </c>
      <c r="I85" s="4">
        <v>0</v>
      </c>
    </row>
    <row r="86" spans="1:9" x14ac:dyDescent="0.15">
      <c r="A86" s="2">
        <v>18</v>
      </c>
      <c r="B86" s="1" t="s">
        <v>80</v>
      </c>
      <c r="C86" s="4">
        <v>41</v>
      </c>
      <c r="D86" s="8">
        <v>1.26</v>
      </c>
      <c r="E86" s="4">
        <v>8</v>
      </c>
      <c r="F86" s="8">
        <v>0.42</v>
      </c>
      <c r="G86" s="4">
        <v>33</v>
      </c>
      <c r="H86" s="8">
        <v>2.5</v>
      </c>
      <c r="I86" s="4">
        <v>0</v>
      </c>
    </row>
    <row r="87" spans="1:9" x14ac:dyDescent="0.15">
      <c r="A87" s="2">
        <v>18</v>
      </c>
      <c r="B87" s="1" t="s">
        <v>91</v>
      </c>
      <c r="C87" s="4">
        <v>41</v>
      </c>
      <c r="D87" s="8">
        <v>1.26</v>
      </c>
      <c r="E87" s="4">
        <v>16</v>
      </c>
      <c r="F87" s="8">
        <v>0.83</v>
      </c>
      <c r="G87" s="4">
        <v>25</v>
      </c>
      <c r="H87" s="8">
        <v>1.9</v>
      </c>
      <c r="I87" s="4">
        <v>0</v>
      </c>
    </row>
    <row r="88" spans="1:9" x14ac:dyDescent="0.15">
      <c r="A88" s="2">
        <v>20</v>
      </c>
      <c r="B88" s="1" t="s">
        <v>79</v>
      </c>
      <c r="C88" s="4">
        <v>37</v>
      </c>
      <c r="D88" s="8">
        <v>1.1399999999999999</v>
      </c>
      <c r="E88" s="4">
        <v>6</v>
      </c>
      <c r="F88" s="8">
        <v>0.31</v>
      </c>
      <c r="G88" s="4">
        <v>31</v>
      </c>
      <c r="H88" s="8">
        <v>2.35</v>
      </c>
      <c r="I88" s="4">
        <v>0</v>
      </c>
    </row>
    <row r="89" spans="1:9" x14ac:dyDescent="0.15">
      <c r="A89" s="2">
        <v>20</v>
      </c>
      <c r="B89" s="1" t="s">
        <v>97</v>
      </c>
      <c r="C89" s="4">
        <v>37</v>
      </c>
      <c r="D89" s="8">
        <v>1.1399999999999999</v>
      </c>
      <c r="E89" s="4">
        <v>8</v>
      </c>
      <c r="F89" s="8">
        <v>0.42</v>
      </c>
      <c r="G89" s="4">
        <v>29</v>
      </c>
      <c r="H89" s="8">
        <v>2.2000000000000002</v>
      </c>
      <c r="I89" s="4">
        <v>0</v>
      </c>
    </row>
    <row r="90" spans="1:9" x14ac:dyDescent="0.15">
      <c r="A90" s="1"/>
      <c r="C90" s="4"/>
      <c r="D90" s="8"/>
      <c r="E90" s="4"/>
      <c r="F90" s="8"/>
      <c r="G90" s="4"/>
      <c r="H90" s="8"/>
      <c r="I90" s="4"/>
    </row>
    <row r="91" spans="1:9" x14ac:dyDescent="0.15">
      <c r="A91" s="1" t="s">
        <v>4</v>
      </c>
      <c r="C91" s="4"/>
      <c r="D91" s="8"/>
      <c r="E91" s="4"/>
      <c r="F91" s="8"/>
      <c r="G91" s="4"/>
      <c r="H91" s="8"/>
      <c r="I91" s="4"/>
    </row>
    <row r="92" spans="1:9" x14ac:dyDescent="0.15">
      <c r="A92" s="2">
        <v>1</v>
      </c>
      <c r="B92" s="1" t="s">
        <v>89</v>
      </c>
      <c r="C92" s="4">
        <v>844</v>
      </c>
      <c r="D92" s="8">
        <v>19.649999999999999</v>
      </c>
      <c r="E92" s="4">
        <v>803</v>
      </c>
      <c r="F92" s="8">
        <v>29.88</v>
      </c>
      <c r="G92" s="4">
        <v>41</v>
      </c>
      <c r="H92" s="8">
        <v>2.56</v>
      </c>
      <c r="I92" s="4">
        <v>0</v>
      </c>
    </row>
    <row r="93" spans="1:9" x14ac:dyDescent="0.15">
      <c r="A93" s="2">
        <v>2</v>
      </c>
      <c r="B93" s="1" t="s">
        <v>86</v>
      </c>
      <c r="C93" s="4">
        <v>362</v>
      </c>
      <c r="D93" s="8">
        <v>8.43</v>
      </c>
      <c r="E93" s="4">
        <v>204</v>
      </c>
      <c r="F93" s="8">
        <v>7.59</v>
      </c>
      <c r="G93" s="4">
        <v>157</v>
      </c>
      <c r="H93" s="8">
        <v>9.7899999999999991</v>
      </c>
      <c r="I93" s="4">
        <v>1</v>
      </c>
    </row>
    <row r="94" spans="1:9" x14ac:dyDescent="0.15">
      <c r="A94" s="2">
        <v>3</v>
      </c>
      <c r="B94" s="1" t="s">
        <v>90</v>
      </c>
      <c r="C94" s="4">
        <v>331</v>
      </c>
      <c r="D94" s="8">
        <v>7.7</v>
      </c>
      <c r="E94" s="4">
        <v>284</v>
      </c>
      <c r="F94" s="8">
        <v>10.57</v>
      </c>
      <c r="G94" s="4">
        <v>47</v>
      </c>
      <c r="H94" s="8">
        <v>2.93</v>
      </c>
      <c r="I94" s="4">
        <v>0</v>
      </c>
    </row>
    <row r="95" spans="1:9" x14ac:dyDescent="0.15">
      <c r="A95" s="2">
        <v>4</v>
      </c>
      <c r="B95" s="1" t="s">
        <v>84</v>
      </c>
      <c r="C95" s="4">
        <v>307</v>
      </c>
      <c r="D95" s="8">
        <v>7.15</v>
      </c>
      <c r="E95" s="4">
        <v>216</v>
      </c>
      <c r="F95" s="8">
        <v>8.0399999999999991</v>
      </c>
      <c r="G95" s="4">
        <v>91</v>
      </c>
      <c r="H95" s="8">
        <v>5.68</v>
      </c>
      <c r="I95" s="4">
        <v>0</v>
      </c>
    </row>
    <row r="96" spans="1:9" x14ac:dyDescent="0.15">
      <c r="A96" s="2">
        <v>5</v>
      </c>
      <c r="B96" s="1" t="s">
        <v>82</v>
      </c>
      <c r="C96" s="4">
        <v>304</v>
      </c>
      <c r="D96" s="8">
        <v>7.08</v>
      </c>
      <c r="E96" s="4">
        <v>233</v>
      </c>
      <c r="F96" s="8">
        <v>8.67</v>
      </c>
      <c r="G96" s="4">
        <v>71</v>
      </c>
      <c r="H96" s="8">
        <v>4.43</v>
      </c>
      <c r="I96" s="4">
        <v>0</v>
      </c>
    </row>
    <row r="97" spans="1:9" x14ac:dyDescent="0.15">
      <c r="A97" s="2">
        <v>6</v>
      </c>
      <c r="B97" s="1" t="s">
        <v>81</v>
      </c>
      <c r="C97" s="4">
        <v>147</v>
      </c>
      <c r="D97" s="8">
        <v>3.42</v>
      </c>
      <c r="E97" s="4">
        <v>114</v>
      </c>
      <c r="F97" s="8">
        <v>4.24</v>
      </c>
      <c r="G97" s="4">
        <v>33</v>
      </c>
      <c r="H97" s="8">
        <v>2.06</v>
      </c>
      <c r="I97" s="4">
        <v>0</v>
      </c>
    </row>
    <row r="98" spans="1:9" x14ac:dyDescent="0.15">
      <c r="A98" s="2">
        <v>7</v>
      </c>
      <c r="B98" s="1" t="s">
        <v>74</v>
      </c>
      <c r="C98" s="4">
        <v>129</v>
      </c>
      <c r="D98" s="8">
        <v>3</v>
      </c>
      <c r="E98" s="4">
        <v>35</v>
      </c>
      <c r="F98" s="8">
        <v>1.3</v>
      </c>
      <c r="G98" s="4">
        <v>94</v>
      </c>
      <c r="H98" s="8">
        <v>5.86</v>
      </c>
      <c r="I98" s="4">
        <v>0</v>
      </c>
    </row>
    <row r="99" spans="1:9" x14ac:dyDescent="0.15">
      <c r="A99" s="2">
        <v>8</v>
      </c>
      <c r="B99" s="1" t="s">
        <v>93</v>
      </c>
      <c r="C99" s="4">
        <v>124</v>
      </c>
      <c r="D99" s="8">
        <v>2.89</v>
      </c>
      <c r="E99" s="4">
        <v>114</v>
      </c>
      <c r="F99" s="8">
        <v>4.24</v>
      </c>
      <c r="G99" s="4">
        <v>10</v>
      </c>
      <c r="H99" s="8">
        <v>0.62</v>
      </c>
      <c r="I99" s="4">
        <v>0</v>
      </c>
    </row>
    <row r="100" spans="1:9" x14ac:dyDescent="0.15">
      <c r="A100" s="2">
        <v>9</v>
      </c>
      <c r="B100" s="1" t="s">
        <v>75</v>
      </c>
      <c r="C100" s="4">
        <v>115</v>
      </c>
      <c r="D100" s="8">
        <v>2.68</v>
      </c>
      <c r="E100" s="4">
        <v>30</v>
      </c>
      <c r="F100" s="8">
        <v>1.1200000000000001</v>
      </c>
      <c r="G100" s="4">
        <v>85</v>
      </c>
      <c r="H100" s="8">
        <v>5.3</v>
      </c>
      <c r="I100" s="4">
        <v>0</v>
      </c>
    </row>
    <row r="101" spans="1:9" x14ac:dyDescent="0.15">
      <c r="A101" s="2">
        <v>10</v>
      </c>
      <c r="B101" s="1" t="s">
        <v>76</v>
      </c>
      <c r="C101" s="4">
        <v>113</v>
      </c>
      <c r="D101" s="8">
        <v>2.63</v>
      </c>
      <c r="E101" s="4">
        <v>27</v>
      </c>
      <c r="F101" s="8">
        <v>1</v>
      </c>
      <c r="G101" s="4">
        <v>86</v>
      </c>
      <c r="H101" s="8">
        <v>5.36</v>
      </c>
      <c r="I101" s="4">
        <v>0</v>
      </c>
    </row>
    <row r="102" spans="1:9" x14ac:dyDescent="0.15">
      <c r="A102" s="2">
        <v>11</v>
      </c>
      <c r="B102" s="1" t="s">
        <v>83</v>
      </c>
      <c r="C102" s="4">
        <v>94</v>
      </c>
      <c r="D102" s="8">
        <v>2.19</v>
      </c>
      <c r="E102" s="4">
        <v>61</v>
      </c>
      <c r="F102" s="8">
        <v>2.27</v>
      </c>
      <c r="G102" s="4">
        <v>33</v>
      </c>
      <c r="H102" s="8">
        <v>2.06</v>
      </c>
      <c r="I102" s="4">
        <v>0</v>
      </c>
    </row>
    <row r="103" spans="1:9" x14ac:dyDescent="0.15">
      <c r="A103" s="2">
        <v>12</v>
      </c>
      <c r="B103" s="1" t="s">
        <v>87</v>
      </c>
      <c r="C103" s="4">
        <v>85</v>
      </c>
      <c r="D103" s="8">
        <v>1.98</v>
      </c>
      <c r="E103" s="4">
        <v>65</v>
      </c>
      <c r="F103" s="8">
        <v>2.42</v>
      </c>
      <c r="G103" s="4">
        <v>20</v>
      </c>
      <c r="H103" s="8">
        <v>1.25</v>
      </c>
      <c r="I103" s="4">
        <v>0</v>
      </c>
    </row>
    <row r="104" spans="1:9" x14ac:dyDescent="0.15">
      <c r="A104" s="2">
        <v>13</v>
      </c>
      <c r="B104" s="1" t="s">
        <v>79</v>
      </c>
      <c r="C104" s="4">
        <v>84</v>
      </c>
      <c r="D104" s="8">
        <v>1.96</v>
      </c>
      <c r="E104" s="4">
        <v>14</v>
      </c>
      <c r="F104" s="8">
        <v>0.52</v>
      </c>
      <c r="G104" s="4">
        <v>70</v>
      </c>
      <c r="H104" s="8">
        <v>4.37</v>
      </c>
      <c r="I104" s="4">
        <v>0</v>
      </c>
    </row>
    <row r="105" spans="1:9" x14ac:dyDescent="0.15">
      <c r="A105" s="2">
        <v>14</v>
      </c>
      <c r="B105" s="1" t="s">
        <v>96</v>
      </c>
      <c r="C105" s="4">
        <v>78</v>
      </c>
      <c r="D105" s="8">
        <v>1.82</v>
      </c>
      <c r="E105" s="4">
        <v>17</v>
      </c>
      <c r="F105" s="8">
        <v>0.63</v>
      </c>
      <c r="G105" s="4">
        <v>61</v>
      </c>
      <c r="H105" s="8">
        <v>3.81</v>
      </c>
      <c r="I105" s="4">
        <v>0</v>
      </c>
    </row>
    <row r="106" spans="1:9" x14ac:dyDescent="0.15">
      <c r="A106" s="2">
        <v>14</v>
      </c>
      <c r="B106" s="1" t="s">
        <v>78</v>
      </c>
      <c r="C106" s="4">
        <v>78</v>
      </c>
      <c r="D106" s="8">
        <v>1.82</v>
      </c>
      <c r="E106" s="4">
        <v>19</v>
      </c>
      <c r="F106" s="8">
        <v>0.71</v>
      </c>
      <c r="G106" s="4">
        <v>59</v>
      </c>
      <c r="H106" s="8">
        <v>3.68</v>
      </c>
      <c r="I106" s="4">
        <v>0</v>
      </c>
    </row>
    <row r="107" spans="1:9" x14ac:dyDescent="0.15">
      <c r="A107" s="2">
        <v>16</v>
      </c>
      <c r="B107" s="1" t="s">
        <v>92</v>
      </c>
      <c r="C107" s="4">
        <v>77</v>
      </c>
      <c r="D107" s="8">
        <v>1.79</v>
      </c>
      <c r="E107" s="4">
        <v>65</v>
      </c>
      <c r="F107" s="8">
        <v>2.42</v>
      </c>
      <c r="G107" s="4">
        <v>10</v>
      </c>
      <c r="H107" s="8">
        <v>0.62</v>
      </c>
      <c r="I107" s="4">
        <v>2</v>
      </c>
    </row>
    <row r="108" spans="1:9" x14ac:dyDescent="0.15">
      <c r="A108" s="2">
        <v>17</v>
      </c>
      <c r="B108" s="1" t="s">
        <v>80</v>
      </c>
      <c r="C108" s="4">
        <v>75</v>
      </c>
      <c r="D108" s="8">
        <v>1.75</v>
      </c>
      <c r="E108" s="4">
        <v>26</v>
      </c>
      <c r="F108" s="8">
        <v>0.97</v>
      </c>
      <c r="G108" s="4">
        <v>49</v>
      </c>
      <c r="H108" s="8">
        <v>3.06</v>
      </c>
      <c r="I108" s="4">
        <v>0</v>
      </c>
    </row>
    <row r="109" spans="1:9" x14ac:dyDescent="0.15">
      <c r="A109" s="2">
        <v>18</v>
      </c>
      <c r="B109" s="1" t="s">
        <v>85</v>
      </c>
      <c r="C109" s="4">
        <v>70</v>
      </c>
      <c r="D109" s="8">
        <v>1.63</v>
      </c>
      <c r="E109" s="4">
        <v>13</v>
      </c>
      <c r="F109" s="8">
        <v>0.48</v>
      </c>
      <c r="G109" s="4">
        <v>57</v>
      </c>
      <c r="H109" s="8">
        <v>3.56</v>
      </c>
      <c r="I109" s="4">
        <v>0</v>
      </c>
    </row>
    <row r="110" spans="1:9" x14ac:dyDescent="0.15">
      <c r="A110" s="2">
        <v>19</v>
      </c>
      <c r="B110" s="1" t="s">
        <v>98</v>
      </c>
      <c r="C110" s="4">
        <v>66</v>
      </c>
      <c r="D110" s="8">
        <v>1.54</v>
      </c>
      <c r="E110" s="4">
        <v>26</v>
      </c>
      <c r="F110" s="8">
        <v>0.97</v>
      </c>
      <c r="G110" s="4">
        <v>40</v>
      </c>
      <c r="H110" s="8">
        <v>2.5</v>
      </c>
      <c r="I110" s="4">
        <v>0</v>
      </c>
    </row>
    <row r="111" spans="1:9" x14ac:dyDescent="0.15">
      <c r="A111" s="2">
        <v>20</v>
      </c>
      <c r="B111" s="1" t="s">
        <v>88</v>
      </c>
      <c r="C111" s="4">
        <v>64</v>
      </c>
      <c r="D111" s="8">
        <v>1.49</v>
      </c>
      <c r="E111" s="4">
        <v>29</v>
      </c>
      <c r="F111" s="8">
        <v>1.08</v>
      </c>
      <c r="G111" s="4">
        <v>35</v>
      </c>
      <c r="H111" s="8">
        <v>2.1800000000000002</v>
      </c>
      <c r="I111" s="4">
        <v>0</v>
      </c>
    </row>
    <row r="112" spans="1:9" x14ac:dyDescent="0.15">
      <c r="A112" s="1"/>
      <c r="C112" s="4"/>
      <c r="D112" s="8"/>
      <c r="E112" s="4"/>
      <c r="F112" s="8"/>
      <c r="G112" s="4"/>
      <c r="H112" s="8"/>
      <c r="I112" s="4"/>
    </row>
    <row r="113" spans="1:9" x14ac:dyDescent="0.15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15">
      <c r="A114" s="2">
        <v>1</v>
      </c>
      <c r="B114" s="1" t="s">
        <v>89</v>
      </c>
      <c r="C114" s="4">
        <v>634</v>
      </c>
      <c r="D114" s="8">
        <v>17.11</v>
      </c>
      <c r="E114" s="4">
        <v>604</v>
      </c>
      <c r="F114" s="8">
        <v>24.53</v>
      </c>
      <c r="G114" s="4">
        <v>30</v>
      </c>
      <c r="H114" s="8">
        <v>2.42</v>
      </c>
      <c r="I114" s="4">
        <v>0</v>
      </c>
    </row>
    <row r="115" spans="1:9" x14ac:dyDescent="0.15">
      <c r="A115" s="2">
        <v>2</v>
      </c>
      <c r="B115" s="1" t="s">
        <v>90</v>
      </c>
      <c r="C115" s="4">
        <v>287</v>
      </c>
      <c r="D115" s="8">
        <v>7.74</v>
      </c>
      <c r="E115" s="4">
        <v>267</v>
      </c>
      <c r="F115" s="8">
        <v>10.84</v>
      </c>
      <c r="G115" s="4">
        <v>20</v>
      </c>
      <c r="H115" s="8">
        <v>1.61</v>
      </c>
      <c r="I115" s="4">
        <v>0</v>
      </c>
    </row>
    <row r="116" spans="1:9" x14ac:dyDescent="0.15">
      <c r="A116" s="2">
        <v>3</v>
      </c>
      <c r="B116" s="1" t="s">
        <v>82</v>
      </c>
      <c r="C116" s="4">
        <v>254</v>
      </c>
      <c r="D116" s="8">
        <v>6.85</v>
      </c>
      <c r="E116" s="4">
        <v>203</v>
      </c>
      <c r="F116" s="8">
        <v>8.25</v>
      </c>
      <c r="G116" s="4">
        <v>51</v>
      </c>
      <c r="H116" s="8">
        <v>4.1100000000000003</v>
      </c>
      <c r="I116" s="4">
        <v>0</v>
      </c>
    </row>
    <row r="117" spans="1:9" x14ac:dyDescent="0.15">
      <c r="A117" s="2">
        <v>4</v>
      </c>
      <c r="B117" s="1" t="s">
        <v>99</v>
      </c>
      <c r="C117" s="4">
        <v>236</v>
      </c>
      <c r="D117" s="8">
        <v>6.37</v>
      </c>
      <c r="E117" s="4">
        <v>200</v>
      </c>
      <c r="F117" s="8">
        <v>8.1199999999999992</v>
      </c>
      <c r="G117" s="4">
        <v>36</v>
      </c>
      <c r="H117" s="8">
        <v>2.9</v>
      </c>
      <c r="I117" s="4">
        <v>0</v>
      </c>
    </row>
    <row r="118" spans="1:9" x14ac:dyDescent="0.15">
      <c r="A118" s="2">
        <v>5</v>
      </c>
      <c r="B118" s="1" t="s">
        <v>86</v>
      </c>
      <c r="C118" s="4">
        <v>221</v>
      </c>
      <c r="D118" s="8">
        <v>5.96</v>
      </c>
      <c r="E118" s="4">
        <v>122</v>
      </c>
      <c r="F118" s="8">
        <v>4.96</v>
      </c>
      <c r="G118" s="4">
        <v>98</v>
      </c>
      <c r="H118" s="8">
        <v>7.9</v>
      </c>
      <c r="I118" s="4">
        <v>1</v>
      </c>
    </row>
    <row r="119" spans="1:9" x14ac:dyDescent="0.15">
      <c r="A119" s="2">
        <v>6</v>
      </c>
      <c r="B119" s="1" t="s">
        <v>84</v>
      </c>
      <c r="C119" s="4">
        <v>190</v>
      </c>
      <c r="D119" s="8">
        <v>5.13</v>
      </c>
      <c r="E119" s="4">
        <v>116</v>
      </c>
      <c r="F119" s="8">
        <v>4.71</v>
      </c>
      <c r="G119" s="4">
        <v>74</v>
      </c>
      <c r="H119" s="8">
        <v>5.97</v>
      </c>
      <c r="I119" s="4">
        <v>0</v>
      </c>
    </row>
    <row r="120" spans="1:9" x14ac:dyDescent="0.15">
      <c r="A120" s="2">
        <v>7</v>
      </c>
      <c r="B120" s="1" t="s">
        <v>101</v>
      </c>
      <c r="C120" s="4">
        <v>117</v>
      </c>
      <c r="D120" s="8">
        <v>3.16</v>
      </c>
      <c r="E120" s="4">
        <v>61</v>
      </c>
      <c r="F120" s="8">
        <v>2.48</v>
      </c>
      <c r="G120" s="4">
        <v>56</v>
      </c>
      <c r="H120" s="8">
        <v>4.5199999999999996</v>
      </c>
      <c r="I120" s="4">
        <v>0</v>
      </c>
    </row>
    <row r="121" spans="1:9" x14ac:dyDescent="0.15">
      <c r="A121" s="2">
        <v>8</v>
      </c>
      <c r="B121" s="1" t="s">
        <v>100</v>
      </c>
      <c r="C121" s="4">
        <v>116</v>
      </c>
      <c r="D121" s="8">
        <v>3.13</v>
      </c>
      <c r="E121" s="4">
        <v>100</v>
      </c>
      <c r="F121" s="8">
        <v>4.0599999999999996</v>
      </c>
      <c r="G121" s="4">
        <v>16</v>
      </c>
      <c r="H121" s="8">
        <v>1.29</v>
      </c>
      <c r="I121" s="4">
        <v>0</v>
      </c>
    </row>
    <row r="122" spans="1:9" x14ac:dyDescent="0.15">
      <c r="A122" s="2">
        <v>9</v>
      </c>
      <c r="B122" s="1" t="s">
        <v>93</v>
      </c>
      <c r="C122" s="4">
        <v>109</v>
      </c>
      <c r="D122" s="8">
        <v>2.94</v>
      </c>
      <c r="E122" s="4">
        <v>102</v>
      </c>
      <c r="F122" s="8">
        <v>4.1399999999999997</v>
      </c>
      <c r="G122" s="4">
        <v>7</v>
      </c>
      <c r="H122" s="8">
        <v>0.56000000000000005</v>
      </c>
      <c r="I122" s="4">
        <v>0</v>
      </c>
    </row>
    <row r="123" spans="1:9" x14ac:dyDescent="0.15">
      <c r="A123" s="2">
        <v>10</v>
      </c>
      <c r="B123" s="1" t="s">
        <v>75</v>
      </c>
      <c r="C123" s="4">
        <v>97</v>
      </c>
      <c r="D123" s="8">
        <v>2.62</v>
      </c>
      <c r="E123" s="4">
        <v>45</v>
      </c>
      <c r="F123" s="8">
        <v>1.83</v>
      </c>
      <c r="G123" s="4">
        <v>52</v>
      </c>
      <c r="H123" s="8">
        <v>4.1900000000000004</v>
      </c>
      <c r="I123" s="4">
        <v>0</v>
      </c>
    </row>
    <row r="124" spans="1:9" x14ac:dyDescent="0.15">
      <c r="A124" s="2">
        <v>11</v>
      </c>
      <c r="B124" s="1" t="s">
        <v>83</v>
      </c>
      <c r="C124" s="4">
        <v>92</v>
      </c>
      <c r="D124" s="8">
        <v>2.48</v>
      </c>
      <c r="E124" s="4">
        <v>54</v>
      </c>
      <c r="F124" s="8">
        <v>2.19</v>
      </c>
      <c r="G124" s="4">
        <v>38</v>
      </c>
      <c r="H124" s="8">
        <v>3.06</v>
      </c>
      <c r="I124" s="4">
        <v>0</v>
      </c>
    </row>
    <row r="125" spans="1:9" x14ac:dyDescent="0.15">
      <c r="A125" s="2">
        <v>12</v>
      </c>
      <c r="B125" s="1" t="s">
        <v>74</v>
      </c>
      <c r="C125" s="4">
        <v>85</v>
      </c>
      <c r="D125" s="8">
        <v>2.29</v>
      </c>
      <c r="E125" s="4">
        <v>24</v>
      </c>
      <c r="F125" s="8">
        <v>0.97</v>
      </c>
      <c r="G125" s="4">
        <v>61</v>
      </c>
      <c r="H125" s="8">
        <v>4.92</v>
      </c>
      <c r="I125" s="4">
        <v>0</v>
      </c>
    </row>
    <row r="126" spans="1:9" x14ac:dyDescent="0.15">
      <c r="A126" s="2">
        <v>13</v>
      </c>
      <c r="B126" s="1" t="s">
        <v>76</v>
      </c>
      <c r="C126" s="4">
        <v>83</v>
      </c>
      <c r="D126" s="8">
        <v>2.2400000000000002</v>
      </c>
      <c r="E126" s="4">
        <v>26</v>
      </c>
      <c r="F126" s="8">
        <v>1.06</v>
      </c>
      <c r="G126" s="4">
        <v>57</v>
      </c>
      <c r="H126" s="8">
        <v>4.5999999999999996</v>
      </c>
      <c r="I126" s="4">
        <v>0</v>
      </c>
    </row>
    <row r="127" spans="1:9" x14ac:dyDescent="0.15">
      <c r="A127" s="2">
        <v>14</v>
      </c>
      <c r="B127" s="1" t="s">
        <v>77</v>
      </c>
      <c r="C127" s="4">
        <v>82</v>
      </c>
      <c r="D127" s="8">
        <v>2.21</v>
      </c>
      <c r="E127" s="4">
        <v>41</v>
      </c>
      <c r="F127" s="8">
        <v>1.67</v>
      </c>
      <c r="G127" s="4">
        <v>41</v>
      </c>
      <c r="H127" s="8">
        <v>3.31</v>
      </c>
      <c r="I127" s="4">
        <v>0</v>
      </c>
    </row>
    <row r="128" spans="1:9" x14ac:dyDescent="0.15">
      <c r="A128" s="2">
        <v>14</v>
      </c>
      <c r="B128" s="1" t="s">
        <v>81</v>
      </c>
      <c r="C128" s="4">
        <v>82</v>
      </c>
      <c r="D128" s="8">
        <v>2.21</v>
      </c>
      <c r="E128" s="4">
        <v>55</v>
      </c>
      <c r="F128" s="8">
        <v>2.23</v>
      </c>
      <c r="G128" s="4">
        <v>27</v>
      </c>
      <c r="H128" s="8">
        <v>2.1800000000000002</v>
      </c>
      <c r="I128" s="4">
        <v>0</v>
      </c>
    </row>
    <row r="129" spans="1:9" x14ac:dyDescent="0.15">
      <c r="A129" s="2">
        <v>16</v>
      </c>
      <c r="B129" s="1" t="s">
        <v>78</v>
      </c>
      <c r="C129" s="4">
        <v>76</v>
      </c>
      <c r="D129" s="8">
        <v>2.0499999999999998</v>
      </c>
      <c r="E129" s="4">
        <v>27</v>
      </c>
      <c r="F129" s="8">
        <v>1.1000000000000001</v>
      </c>
      <c r="G129" s="4">
        <v>49</v>
      </c>
      <c r="H129" s="8">
        <v>3.95</v>
      </c>
      <c r="I129" s="4">
        <v>0</v>
      </c>
    </row>
    <row r="130" spans="1:9" x14ac:dyDescent="0.15">
      <c r="A130" s="2">
        <v>17</v>
      </c>
      <c r="B130" s="1" t="s">
        <v>87</v>
      </c>
      <c r="C130" s="4">
        <v>65</v>
      </c>
      <c r="D130" s="8">
        <v>1.75</v>
      </c>
      <c r="E130" s="4">
        <v>50</v>
      </c>
      <c r="F130" s="8">
        <v>2.0299999999999998</v>
      </c>
      <c r="G130" s="4">
        <v>15</v>
      </c>
      <c r="H130" s="8">
        <v>1.21</v>
      </c>
      <c r="I130" s="4">
        <v>0</v>
      </c>
    </row>
    <row r="131" spans="1:9" x14ac:dyDescent="0.15">
      <c r="A131" s="2">
        <v>18</v>
      </c>
      <c r="B131" s="1" t="s">
        <v>92</v>
      </c>
      <c r="C131" s="4">
        <v>63</v>
      </c>
      <c r="D131" s="8">
        <v>1.7</v>
      </c>
      <c r="E131" s="4">
        <v>53</v>
      </c>
      <c r="F131" s="8">
        <v>2.15</v>
      </c>
      <c r="G131" s="4">
        <v>9</v>
      </c>
      <c r="H131" s="8">
        <v>0.73</v>
      </c>
      <c r="I131" s="4">
        <v>1</v>
      </c>
    </row>
    <row r="132" spans="1:9" x14ac:dyDescent="0.15">
      <c r="A132" s="2">
        <v>19</v>
      </c>
      <c r="B132" s="1" t="s">
        <v>85</v>
      </c>
      <c r="C132" s="4">
        <v>56</v>
      </c>
      <c r="D132" s="8">
        <v>1.51</v>
      </c>
      <c r="E132" s="4">
        <v>13</v>
      </c>
      <c r="F132" s="8">
        <v>0.53</v>
      </c>
      <c r="G132" s="4">
        <v>43</v>
      </c>
      <c r="H132" s="8">
        <v>3.47</v>
      </c>
      <c r="I132" s="4">
        <v>0</v>
      </c>
    </row>
    <row r="133" spans="1:9" x14ac:dyDescent="0.15">
      <c r="A133" s="2">
        <v>20</v>
      </c>
      <c r="B133" s="1" t="s">
        <v>102</v>
      </c>
      <c r="C133" s="4">
        <v>55</v>
      </c>
      <c r="D133" s="8">
        <v>1.48</v>
      </c>
      <c r="E133" s="4">
        <v>12</v>
      </c>
      <c r="F133" s="8">
        <v>0.49</v>
      </c>
      <c r="G133" s="4">
        <v>43</v>
      </c>
      <c r="H133" s="8">
        <v>3.47</v>
      </c>
      <c r="I133" s="4">
        <v>0</v>
      </c>
    </row>
    <row r="134" spans="1:9" x14ac:dyDescent="0.15">
      <c r="A134" s="1"/>
      <c r="C134" s="4"/>
      <c r="D134" s="8"/>
      <c r="E134" s="4"/>
      <c r="F134" s="8"/>
      <c r="G134" s="4"/>
      <c r="H134" s="8"/>
      <c r="I134" s="4"/>
    </row>
    <row r="135" spans="1:9" x14ac:dyDescent="0.15">
      <c r="A135" s="1" t="s">
        <v>6</v>
      </c>
      <c r="C135" s="4"/>
      <c r="D135" s="8"/>
      <c r="E135" s="4"/>
      <c r="F135" s="8"/>
      <c r="G135" s="4"/>
      <c r="H135" s="8"/>
      <c r="I135" s="4"/>
    </row>
    <row r="136" spans="1:9" x14ac:dyDescent="0.15">
      <c r="A136" s="2">
        <v>1</v>
      </c>
      <c r="B136" s="1" t="s">
        <v>89</v>
      </c>
      <c r="C136" s="4">
        <v>341</v>
      </c>
      <c r="D136" s="8">
        <v>14.28</v>
      </c>
      <c r="E136" s="4">
        <v>314</v>
      </c>
      <c r="F136" s="8">
        <v>23.22</v>
      </c>
      <c r="G136" s="4">
        <v>27</v>
      </c>
      <c r="H136" s="8">
        <v>2.62</v>
      </c>
      <c r="I136" s="4">
        <v>0</v>
      </c>
    </row>
    <row r="137" spans="1:9" x14ac:dyDescent="0.15">
      <c r="A137" s="2">
        <v>2</v>
      </c>
      <c r="B137" s="1" t="s">
        <v>90</v>
      </c>
      <c r="C137" s="4">
        <v>237</v>
      </c>
      <c r="D137" s="8">
        <v>9.92</v>
      </c>
      <c r="E137" s="4">
        <v>189</v>
      </c>
      <c r="F137" s="8">
        <v>13.98</v>
      </c>
      <c r="G137" s="4">
        <v>48</v>
      </c>
      <c r="H137" s="8">
        <v>4.66</v>
      </c>
      <c r="I137" s="4">
        <v>0</v>
      </c>
    </row>
    <row r="138" spans="1:9" x14ac:dyDescent="0.15">
      <c r="A138" s="2">
        <v>3</v>
      </c>
      <c r="B138" s="1" t="s">
        <v>86</v>
      </c>
      <c r="C138" s="4">
        <v>199</v>
      </c>
      <c r="D138" s="8">
        <v>8.33</v>
      </c>
      <c r="E138" s="4">
        <v>75</v>
      </c>
      <c r="F138" s="8">
        <v>5.55</v>
      </c>
      <c r="G138" s="4">
        <v>123</v>
      </c>
      <c r="H138" s="8">
        <v>11.93</v>
      </c>
      <c r="I138" s="4">
        <v>1</v>
      </c>
    </row>
    <row r="139" spans="1:9" x14ac:dyDescent="0.15">
      <c r="A139" s="2">
        <v>4</v>
      </c>
      <c r="B139" s="1" t="s">
        <v>82</v>
      </c>
      <c r="C139" s="4">
        <v>150</v>
      </c>
      <c r="D139" s="8">
        <v>6.28</v>
      </c>
      <c r="E139" s="4">
        <v>100</v>
      </c>
      <c r="F139" s="8">
        <v>7.4</v>
      </c>
      <c r="G139" s="4">
        <v>50</v>
      </c>
      <c r="H139" s="8">
        <v>4.8499999999999996</v>
      </c>
      <c r="I139" s="4">
        <v>0</v>
      </c>
    </row>
    <row r="140" spans="1:9" x14ac:dyDescent="0.15">
      <c r="A140" s="2">
        <v>5</v>
      </c>
      <c r="B140" s="1" t="s">
        <v>84</v>
      </c>
      <c r="C140" s="4">
        <v>136</v>
      </c>
      <c r="D140" s="8">
        <v>5.7</v>
      </c>
      <c r="E140" s="4">
        <v>82</v>
      </c>
      <c r="F140" s="8">
        <v>6.07</v>
      </c>
      <c r="G140" s="4">
        <v>54</v>
      </c>
      <c r="H140" s="8">
        <v>5.24</v>
      </c>
      <c r="I140" s="4">
        <v>0</v>
      </c>
    </row>
    <row r="141" spans="1:9" x14ac:dyDescent="0.15">
      <c r="A141" s="2">
        <v>6</v>
      </c>
      <c r="B141" s="1" t="s">
        <v>74</v>
      </c>
      <c r="C141" s="4">
        <v>103</v>
      </c>
      <c r="D141" s="8">
        <v>4.3099999999999996</v>
      </c>
      <c r="E141" s="4">
        <v>21</v>
      </c>
      <c r="F141" s="8">
        <v>1.55</v>
      </c>
      <c r="G141" s="4">
        <v>82</v>
      </c>
      <c r="H141" s="8">
        <v>7.95</v>
      </c>
      <c r="I141" s="4">
        <v>0</v>
      </c>
    </row>
    <row r="142" spans="1:9" x14ac:dyDescent="0.15">
      <c r="A142" s="2">
        <v>7</v>
      </c>
      <c r="B142" s="1" t="s">
        <v>92</v>
      </c>
      <c r="C142" s="4">
        <v>102</v>
      </c>
      <c r="D142" s="8">
        <v>4.2699999999999996</v>
      </c>
      <c r="E142" s="4">
        <v>73</v>
      </c>
      <c r="F142" s="8">
        <v>5.4</v>
      </c>
      <c r="G142" s="4">
        <v>28</v>
      </c>
      <c r="H142" s="8">
        <v>2.72</v>
      </c>
      <c r="I142" s="4">
        <v>1</v>
      </c>
    </row>
    <row r="143" spans="1:9" x14ac:dyDescent="0.15">
      <c r="A143" s="2">
        <v>8</v>
      </c>
      <c r="B143" s="1" t="s">
        <v>93</v>
      </c>
      <c r="C143" s="4">
        <v>90</v>
      </c>
      <c r="D143" s="8">
        <v>3.77</v>
      </c>
      <c r="E143" s="4">
        <v>81</v>
      </c>
      <c r="F143" s="8">
        <v>5.99</v>
      </c>
      <c r="G143" s="4">
        <v>9</v>
      </c>
      <c r="H143" s="8">
        <v>0.87</v>
      </c>
      <c r="I143" s="4">
        <v>0</v>
      </c>
    </row>
    <row r="144" spans="1:9" x14ac:dyDescent="0.15">
      <c r="A144" s="2">
        <v>9</v>
      </c>
      <c r="B144" s="1" t="s">
        <v>81</v>
      </c>
      <c r="C144" s="4">
        <v>82</v>
      </c>
      <c r="D144" s="8">
        <v>3.43</v>
      </c>
      <c r="E144" s="4">
        <v>39</v>
      </c>
      <c r="F144" s="8">
        <v>2.88</v>
      </c>
      <c r="G144" s="4">
        <v>43</v>
      </c>
      <c r="H144" s="8">
        <v>4.17</v>
      </c>
      <c r="I144" s="4">
        <v>0</v>
      </c>
    </row>
    <row r="145" spans="1:9" x14ac:dyDescent="0.15">
      <c r="A145" s="2">
        <v>10</v>
      </c>
      <c r="B145" s="1" t="s">
        <v>76</v>
      </c>
      <c r="C145" s="4">
        <v>72</v>
      </c>
      <c r="D145" s="8">
        <v>3.02</v>
      </c>
      <c r="E145" s="4">
        <v>24</v>
      </c>
      <c r="F145" s="8">
        <v>1.78</v>
      </c>
      <c r="G145" s="4">
        <v>48</v>
      </c>
      <c r="H145" s="8">
        <v>4.66</v>
      </c>
      <c r="I145" s="4">
        <v>0</v>
      </c>
    </row>
    <row r="146" spans="1:9" x14ac:dyDescent="0.15">
      <c r="A146" s="2">
        <v>11</v>
      </c>
      <c r="B146" s="1" t="s">
        <v>85</v>
      </c>
      <c r="C146" s="4">
        <v>69</v>
      </c>
      <c r="D146" s="8">
        <v>2.89</v>
      </c>
      <c r="E146" s="4">
        <v>20</v>
      </c>
      <c r="F146" s="8">
        <v>1.48</v>
      </c>
      <c r="G146" s="4">
        <v>49</v>
      </c>
      <c r="H146" s="8">
        <v>4.75</v>
      </c>
      <c r="I146" s="4">
        <v>0</v>
      </c>
    </row>
    <row r="147" spans="1:9" x14ac:dyDescent="0.15">
      <c r="A147" s="2">
        <v>12</v>
      </c>
      <c r="B147" s="1" t="s">
        <v>83</v>
      </c>
      <c r="C147" s="4">
        <v>58</v>
      </c>
      <c r="D147" s="8">
        <v>2.4300000000000002</v>
      </c>
      <c r="E147" s="4">
        <v>36</v>
      </c>
      <c r="F147" s="8">
        <v>2.66</v>
      </c>
      <c r="G147" s="4">
        <v>22</v>
      </c>
      <c r="H147" s="8">
        <v>2.13</v>
      </c>
      <c r="I147" s="4">
        <v>0</v>
      </c>
    </row>
    <row r="148" spans="1:9" x14ac:dyDescent="0.15">
      <c r="A148" s="2">
        <v>13</v>
      </c>
      <c r="B148" s="1" t="s">
        <v>75</v>
      </c>
      <c r="C148" s="4">
        <v>51</v>
      </c>
      <c r="D148" s="8">
        <v>2.14</v>
      </c>
      <c r="E148" s="4">
        <v>21</v>
      </c>
      <c r="F148" s="8">
        <v>1.55</v>
      </c>
      <c r="G148" s="4">
        <v>30</v>
      </c>
      <c r="H148" s="8">
        <v>2.91</v>
      </c>
      <c r="I148" s="4">
        <v>0</v>
      </c>
    </row>
    <row r="149" spans="1:9" x14ac:dyDescent="0.15">
      <c r="A149" s="2">
        <v>14</v>
      </c>
      <c r="B149" s="1" t="s">
        <v>94</v>
      </c>
      <c r="C149" s="4">
        <v>50</v>
      </c>
      <c r="D149" s="8">
        <v>2.09</v>
      </c>
      <c r="E149" s="4">
        <v>4</v>
      </c>
      <c r="F149" s="8">
        <v>0.3</v>
      </c>
      <c r="G149" s="4">
        <v>43</v>
      </c>
      <c r="H149" s="8">
        <v>4.17</v>
      </c>
      <c r="I149" s="4">
        <v>3</v>
      </c>
    </row>
    <row r="150" spans="1:9" x14ac:dyDescent="0.15">
      <c r="A150" s="2">
        <v>15</v>
      </c>
      <c r="B150" s="1" t="s">
        <v>99</v>
      </c>
      <c r="C150" s="4">
        <v>43</v>
      </c>
      <c r="D150" s="8">
        <v>1.8</v>
      </c>
      <c r="E150" s="4">
        <v>31</v>
      </c>
      <c r="F150" s="8">
        <v>2.29</v>
      </c>
      <c r="G150" s="4">
        <v>12</v>
      </c>
      <c r="H150" s="8">
        <v>1.1599999999999999</v>
      </c>
      <c r="I150" s="4">
        <v>0</v>
      </c>
    </row>
    <row r="151" spans="1:9" x14ac:dyDescent="0.15">
      <c r="A151" s="2">
        <v>15</v>
      </c>
      <c r="B151" s="1" t="s">
        <v>88</v>
      </c>
      <c r="C151" s="4">
        <v>43</v>
      </c>
      <c r="D151" s="8">
        <v>1.8</v>
      </c>
      <c r="E151" s="4">
        <v>17</v>
      </c>
      <c r="F151" s="8">
        <v>1.26</v>
      </c>
      <c r="G151" s="4">
        <v>26</v>
      </c>
      <c r="H151" s="8">
        <v>2.52</v>
      </c>
      <c r="I151" s="4">
        <v>0</v>
      </c>
    </row>
    <row r="152" spans="1:9" x14ac:dyDescent="0.15">
      <c r="A152" s="2">
        <v>17</v>
      </c>
      <c r="B152" s="1" t="s">
        <v>87</v>
      </c>
      <c r="C152" s="4">
        <v>41</v>
      </c>
      <c r="D152" s="8">
        <v>1.72</v>
      </c>
      <c r="E152" s="4">
        <v>28</v>
      </c>
      <c r="F152" s="8">
        <v>2.0699999999999998</v>
      </c>
      <c r="G152" s="4">
        <v>13</v>
      </c>
      <c r="H152" s="8">
        <v>1.26</v>
      </c>
      <c r="I152" s="4">
        <v>0</v>
      </c>
    </row>
    <row r="153" spans="1:9" x14ac:dyDescent="0.15">
      <c r="A153" s="2">
        <v>18</v>
      </c>
      <c r="B153" s="1" t="s">
        <v>100</v>
      </c>
      <c r="C153" s="4">
        <v>35</v>
      </c>
      <c r="D153" s="8">
        <v>1.47</v>
      </c>
      <c r="E153" s="4">
        <v>25</v>
      </c>
      <c r="F153" s="8">
        <v>1.85</v>
      </c>
      <c r="G153" s="4">
        <v>10</v>
      </c>
      <c r="H153" s="8">
        <v>0.97</v>
      </c>
      <c r="I153" s="4">
        <v>0</v>
      </c>
    </row>
    <row r="154" spans="1:9" x14ac:dyDescent="0.15">
      <c r="A154" s="2">
        <v>19</v>
      </c>
      <c r="B154" s="1" t="s">
        <v>91</v>
      </c>
      <c r="C154" s="4">
        <v>31</v>
      </c>
      <c r="D154" s="8">
        <v>1.3</v>
      </c>
      <c r="E154" s="4">
        <v>18</v>
      </c>
      <c r="F154" s="8">
        <v>1.33</v>
      </c>
      <c r="G154" s="4">
        <v>13</v>
      </c>
      <c r="H154" s="8">
        <v>1.26</v>
      </c>
      <c r="I154" s="4">
        <v>0</v>
      </c>
    </row>
    <row r="155" spans="1:9" x14ac:dyDescent="0.15">
      <c r="A155" s="2">
        <v>20</v>
      </c>
      <c r="B155" s="1" t="s">
        <v>78</v>
      </c>
      <c r="C155" s="4">
        <v>29</v>
      </c>
      <c r="D155" s="8">
        <v>1.21</v>
      </c>
      <c r="E155" s="4">
        <v>1</v>
      </c>
      <c r="F155" s="8">
        <v>7.0000000000000007E-2</v>
      </c>
      <c r="G155" s="4">
        <v>28</v>
      </c>
      <c r="H155" s="8">
        <v>2.72</v>
      </c>
      <c r="I155" s="4">
        <v>0</v>
      </c>
    </row>
    <row r="156" spans="1:9" x14ac:dyDescent="0.15">
      <c r="A156" s="1"/>
      <c r="C156" s="4"/>
      <c r="D156" s="8"/>
      <c r="E156" s="4"/>
      <c r="F156" s="8"/>
      <c r="G156" s="4"/>
      <c r="H156" s="8"/>
      <c r="I156" s="4"/>
    </row>
    <row r="157" spans="1:9" x14ac:dyDescent="0.15">
      <c r="A157" s="1" t="s">
        <v>7</v>
      </c>
      <c r="C157" s="4"/>
      <c r="D157" s="8"/>
      <c r="E157" s="4"/>
      <c r="F157" s="8"/>
      <c r="G157" s="4"/>
      <c r="H157" s="8"/>
      <c r="I157" s="4"/>
    </row>
    <row r="158" spans="1:9" x14ac:dyDescent="0.15">
      <c r="A158" s="2">
        <v>1</v>
      </c>
      <c r="B158" s="1" t="s">
        <v>90</v>
      </c>
      <c r="C158" s="4">
        <v>390</v>
      </c>
      <c r="D158" s="8">
        <v>13.15</v>
      </c>
      <c r="E158" s="4">
        <v>331</v>
      </c>
      <c r="F158" s="8">
        <v>18.71</v>
      </c>
      <c r="G158" s="4">
        <v>59</v>
      </c>
      <c r="H158" s="8">
        <v>4.96</v>
      </c>
      <c r="I158" s="4">
        <v>0</v>
      </c>
    </row>
    <row r="159" spans="1:9" x14ac:dyDescent="0.15">
      <c r="A159" s="2">
        <v>2</v>
      </c>
      <c r="B159" s="1" t="s">
        <v>89</v>
      </c>
      <c r="C159" s="4">
        <v>369</v>
      </c>
      <c r="D159" s="8">
        <v>12.45</v>
      </c>
      <c r="E159" s="4">
        <v>338</v>
      </c>
      <c r="F159" s="8">
        <v>19.11</v>
      </c>
      <c r="G159" s="4">
        <v>31</v>
      </c>
      <c r="H159" s="8">
        <v>2.61</v>
      </c>
      <c r="I159" s="4">
        <v>0</v>
      </c>
    </row>
    <row r="160" spans="1:9" x14ac:dyDescent="0.15">
      <c r="A160" s="2">
        <v>3</v>
      </c>
      <c r="B160" s="1" t="s">
        <v>86</v>
      </c>
      <c r="C160" s="4">
        <v>289</v>
      </c>
      <c r="D160" s="8">
        <v>9.75</v>
      </c>
      <c r="E160" s="4">
        <v>140</v>
      </c>
      <c r="F160" s="8">
        <v>7.91</v>
      </c>
      <c r="G160" s="4">
        <v>147</v>
      </c>
      <c r="H160" s="8">
        <v>12.35</v>
      </c>
      <c r="I160" s="4">
        <v>2</v>
      </c>
    </row>
    <row r="161" spans="1:9" x14ac:dyDescent="0.15">
      <c r="A161" s="2">
        <v>4</v>
      </c>
      <c r="B161" s="1" t="s">
        <v>92</v>
      </c>
      <c r="C161" s="4">
        <v>199</v>
      </c>
      <c r="D161" s="8">
        <v>6.71</v>
      </c>
      <c r="E161" s="4">
        <v>153</v>
      </c>
      <c r="F161" s="8">
        <v>8.65</v>
      </c>
      <c r="G161" s="4">
        <v>44</v>
      </c>
      <c r="H161" s="8">
        <v>3.7</v>
      </c>
      <c r="I161" s="4">
        <v>2</v>
      </c>
    </row>
    <row r="162" spans="1:9" x14ac:dyDescent="0.15">
      <c r="A162" s="2">
        <v>5</v>
      </c>
      <c r="B162" s="1" t="s">
        <v>84</v>
      </c>
      <c r="C162" s="4">
        <v>188</v>
      </c>
      <c r="D162" s="8">
        <v>6.34</v>
      </c>
      <c r="E162" s="4">
        <v>104</v>
      </c>
      <c r="F162" s="8">
        <v>5.88</v>
      </c>
      <c r="G162" s="4">
        <v>84</v>
      </c>
      <c r="H162" s="8">
        <v>7.06</v>
      </c>
      <c r="I162" s="4">
        <v>0</v>
      </c>
    </row>
    <row r="163" spans="1:9" x14ac:dyDescent="0.15">
      <c r="A163" s="2">
        <v>6</v>
      </c>
      <c r="B163" s="1" t="s">
        <v>82</v>
      </c>
      <c r="C163" s="4">
        <v>176</v>
      </c>
      <c r="D163" s="8">
        <v>5.94</v>
      </c>
      <c r="E163" s="4">
        <v>124</v>
      </c>
      <c r="F163" s="8">
        <v>7.01</v>
      </c>
      <c r="G163" s="4">
        <v>52</v>
      </c>
      <c r="H163" s="8">
        <v>4.37</v>
      </c>
      <c r="I163" s="4">
        <v>0</v>
      </c>
    </row>
    <row r="164" spans="1:9" x14ac:dyDescent="0.15">
      <c r="A164" s="2">
        <v>7</v>
      </c>
      <c r="B164" s="1" t="s">
        <v>74</v>
      </c>
      <c r="C164" s="4">
        <v>145</v>
      </c>
      <c r="D164" s="8">
        <v>4.8899999999999997</v>
      </c>
      <c r="E164" s="4">
        <v>27</v>
      </c>
      <c r="F164" s="8">
        <v>1.53</v>
      </c>
      <c r="G164" s="4">
        <v>118</v>
      </c>
      <c r="H164" s="8">
        <v>9.92</v>
      </c>
      <c r="I164" s="4">
        <v>0</v>
      </c>
    </row>
    <row r="165" spans="1:9" x14ac:dyDescent="0.15">
      <c r="A165" s="2">
        <v>8</v>
      </c>
      <c r="B165" s="1" t="s">
        <v>93</v>
      </c>
      <c r="C165" s="4">
        <v>134</v>
      </c>
      <c r="D165" s="8">
        <v>4.5199999999999996</v>
      </c>
      <c r="E165" s="4">
        <v>118</v>
      </c>
      <c r="F165" s="8">
        <v>6.67</v>
      </c>
      <c r="G165" s="4">
        <v>16</v>
      </c>
      <c r="H165" s="8">
        <v>1.34</v>
      </c>
      <c r="I165" s="4">
        <v>0</v>
      </c>
    </row>
    <row r="166" spans="1:9" x14ac:dyDescent="0.15">
      <c r="A166" s="2">
        <v>9</v>
      </c>
      <c r="B166" s="1" t="s">
        <v>81</v>
      </c>
      <c r="C166" s="4">
        <v>127</v>
      </c>
      <c r="D166" s="8">
        <v>4.28</v>
      </c>
      <c r="E166" s="4">
        <v>61</v>
      </c>
      <c r="F166" s="8">
        <v>3.45</v>
      </c>
      <c r="G166" s="4">
        <v>66</v>
      </c>
      <c r="H166" s="8">
        <v>5.55</v>
      </c>
      <c r="I166" s="4">
        <v>0</v>
      </c>
    </row>
    <row r="167" spans="1:9" x14ac:dyDescent="0.15">
      <c r="A167" s="2">
        <v>10</v>
      </c>
      <c r="B167" s="1" t="s">
        <v>83</v>
      </c>
      <c r="C167" s="4">
        <v>91</v>
      </c>
      <c r="D167" s="8">
        <v>3.07</v>
      </c>
      <c r="E167" s="4">
        <v>51</v>
      </c>
      <c r="F167" s="8">
        <v>2.88</v>
      </c>
      <c r="G167" s="4">
        <v>40</v>
      </c>
      <c r="H167" s="8">
        <v>3.36</v>
      </c>
      <c r="I167" s="4">
        <v>0</v>
      </c>
    </row>
    <row r="168" spans="1:9" x14ac:dyDescent="0.15">
      <c r="A168" s="2">
        <v>11</v>
      </c>
      <c r="B168" s="1" t="s">
        <v>76</v>
      </c>
      <c r="C168" s="4">
        <v>76</v>
      </c>
      <c r="D168" s="8">
        <v>2.56</v>
      </c>
      <c r="E168" s="4">
        <v>21</v>
      </c>
      <c r="F168" s="8">
        <v>1.19</v>
      </c>
      <c r="G168" s="4">
        <v>55</v>
      </c>
      <c r="H168" s="8">
        <v>4.62</v>
      </c>
      <c r="I168" s="4">
        <v>0</v>
      </c>
    </row>
    <row r="169" spans="1:9" x14ac:dyDescent="0.15">
      <c r="A169" s="2">
        <v>12</v>
      </c>
      <c r="B169" s="1" t="s">
        <v>87</v>
      </c>
      <c r="C169" s="4">
        <v>75</v>
      </c>
      <c r="D169" s="8">
        <v>2.5299999999999998</v>
      </c>
      <c r="E169" s="4">
        <v>55</v>
      </c>
      <c r="F169" s="8">
        <v>3.11</v>
      </c>
      <c r="G169" s="4">
        <v>20</v>
      </c>
      <c r="H169" s="8">
        <v>1.68</v>
      </c>
      <c r="I169" s="4">
        <v>0</v>
      </c>
    </row>
    <row r="170" spans="1:9" x14ac:dyDescent="0.15">
      <c r="A170" s="2">
        <v>13</v>
      </c>
      <c r="B170" s="1" t="s">
        <v>85</v>
      </c>
      <c r="C170" s="4">
        <v>69</v>
      </c>
      <c r="D170" s="8">
        <v>2.33</v>
      </c>
      <c r="E170" s="4">
        <v>13</v>
      </c>
      <c r="F170" s="8">
        <v>0.73</v>
      </c>
      <c r="G170" s="4">
        <v>56</v>
      </c>
      <c r="H170" s="8">
        <v>4.71</v>
      </c>
      <c r="I170" s="4">
        <v>0</v>
      </c>
    </row>
    <row r="171" spans="1:9" x14ac:dyDescent="0.15">
      <c r="A171" s="2">
        <v>14</v>
      </c>
      <c r="B171" s="1" t="s">
        <v>75</v>
      </c>
      <c r="C171" s="4">
        <v>67</v>
      </c>
      <c r="D171" s="8">
        <v>2.2599999999999998</v>
      </c>
      <c r="E171" s="4">
        <v>24</v>
      </c>
      <c r="F171" s="8">
        <v>1.36</v>
      </c>
      <c r="G171" s="4">
        <v>43</v>
      </c>
      <c r="H171" s="8">
        <v>3.61</v>
      </c>
      <c r="I171" s="4">
        <v>0</v>
      </c>
    </row>
    <row r="172" spans="1:9" x14ac:dyDescent="0.15">
      <c r="A172" s="2">
        <v>15</v>
      </c>
      <c r="B172" s="1" t="s">
        <v>88</v>
      </c>
      <c r="C172" s="4">
        <v>62</v>
      </c>
      <c r="D172" s="8">
        <v>2.09</v>
      </c>
      <c r="E172" s="4">
        <v>27</v>
      </c>
      <c r="F172" s="8">
        <v>1.53</v>
      </c>
      <c r="G172" s="4">
        <v>35</v>
      </c>
      <c r="H172" s="8">
        <v>2.94</v>
      </c>
      <c r="I172" s="4">
        <v>0</v>
      </c>
    </row>
    <row r="173" spans="1:9" x14ac:dyDescent="0.15">
      <c r="A173" s="2">
        <v>16</v>
      </c>
      <c r="B173" s="1" t="s">
        <v>94</v>
      </c>
      <c r="C173" s="4">
        <v>55</v>
      </c>
      <c r="D173" s="8">
        <v>1.85</v>
      </c>
      <c r="E173" s="4">
        <v>1</v>
      </c>
      <c r="F173" s="8">
        <v>0.06</v>
      </c>
      <c r="G173" s="4">
        <v>54</v>
      </c>
      <c r="H173" s="8">
        <v>4.54</v>
      </c>
      <c r="I173" s="4">
        <v>0</v>
      </c>
    </row>
    <row r="174" spans="1:9" x14ac:dyDescent="0.15">
      <c r="A174" s="2">
        <v>17</v>
      </c>
      <c r="B174" s="1" t="s">
        <v>91</v>
      </c>
      <c r="C174" s="4">
        <v>45</v>
      </c>
      <c r="D174" s="8">
        <v>1.52</v>
      </c>
      <c r="E174" s="4">
        <v>21</v>
      </c>
      <c r="F174" s="8">
        <v>1.19</v>
      </c>
      <c r="G174" s="4">
        <v>24</v>
      </c>
      <c r="H174" s="8">
        <v>2.02</v>
      </c>
      <c r="I174" s="4">
        <v>0</v>
      </c>
    </row>
    <row r="175" spans="1:9" x14ac:dyDescent="0.15">
      <c r="A175" s="2">
        <v>18</v>
      </c>
      <c r="B175" s="1" t="s">
        <v>78</v>
      </c>
      <c r="C175" s="4">
        <v>29</v>
      </c>
      <c r="D175" s="8">
        <v>0.98</v>
      </c>
      <c r="E175" s="4">
        <v>7</v>
      </c>
      <c r="F175" s="8">
        <v>0.4</v>
      </c>
      <c r="G175" s="4">
        <v>22</v>
      </c>
      <c r="H175" s="8">
        <v>1.85</v>
      </c>
      <c r="I175" s="4">
        <v>0</v>
      </c>
    </row>
    <row r="176" spans="1:9" x14ac:dyDescent="0.15">
      <c r="A176" s="2">
        <v>19</v>
      </c>
      <c r="B176" s="1" t="s">
        <v>103</v>
      </c>
      <c r="C176" s="4">
        <v>28</v>
      </c>
      <c r="D176" s="8">
        <v>0.94</v>
      </c>
      <c r="E176" s="4">
        <v>12</v>
      </c>
      <c r="F176" s="8">
        <v>0.68</v>
      </c>
      <c r="G176" s="4">
        <v>16</v>
      </c>
      <c r="H176" s="8">
        <v>1.34</v>
      </c>
      <c r="I176" s="4">
        <v>0</v>
      </c>
    </row>
    <row r="177" spans="1:9" x14ac:dyDescent="0.15">
      <c r="A177" s="2">
        <v>19</v>
      </c>
      <c r="B177" s="1" t="s">
        <v>97</v>
      </c>
      <c r="C177" s="4">
        <v>28</v>
      </c>
      <c r="D177" s="8">
        <v>0.94</v>
      </c>
      <c r="E177" s="4">
        <v>4</v>
      </c>
      <c r="F177" s="8">
        <v>0.23</v>
      </c>
      <c r="G177" s="4">
        <v>24</v>
      </c>
      <c r="H177" s="8">
        <v>2.02</v>
      </c>
      <c r="I177" s="4">
        <v>0</v>
      </c>
    </row>
    <row r="178" spans="1:9" x14ac:dyDescent="0.15">
      <c r="A178" s="1"/>
      <c r="C178" s="4"/>
      <c r="D178" s="8"/>
      <c r="E178" s="4"/>
      <c r="F178" s="8"/>
      <c r="G178" s="4"/>
      <c r="H178" s="8"/>
      <c r="I178" s="4"/>
    </row>
    <row r="179" spans="1:9" x14ac:dyDescent="0.15">
      <c r="A179" s="1" t="s">
        <v>8</v>
      </c>
      <c r="C179" s="4"/>
      <c r="D179" s="8"/>
      <c r="E179" s="4"/>
      <c r="F179" s="8"/>
      <c r="G179" s="4"/>
      <c r="H179" s="8"/>
      <c r="I179" s="4"/>
    </row>
    <row r="180" spans="1:9" x14ac:dyDescent="0.15">
      <c r="A180" s="2">
        <v>1</v>
      </c>
      <c r="B180" s="1" t="s">
        <v>90</v>
      </c>
      <c r="C180" s="4">
        <v>303</v>
      </c>
      <c r="D180" s="8">
        <v>11.22</v>
      </c>
      <c r="E180" s="4">
        <v>237</v>
      </c>
      <c r="F180" s="8">
        <v>16.86</v>
      </c>
      <c r="G180" s="4">
        <v>66</v>
      </c>
      <c r="H180" s="8">
        <v>5.1100000000000003</v>
      </c>
      <c r="I180" s="4">
        <v>0</v>
      </c>
    </row>
    <row r="181" spans="1:9" x14ac:dyDescent="0.15">
      <c r="A181" s="2">
        <v>2</v>
      </c>
      <c r="B181" s="1" t="s">
        <v>89</v>
      </c>
      <c r="C181" s="4">
        <v>285</v>
      </c>
      <c r="D181" s="8">
        <v>10.55</v>
      </c>
      <c r="E181" s="4">
        <v>250</v>
      </c>
      <c r="F181" s="8">
        <v>17.78</v>
      </c>
      <c r="G181" s="4">
        <v>35</v>
      </c>
      <c r="H181" s="8">
        <v>2.71</v>
      </c>
      <c r="I181" s="4">
        <v>0</v>
      </c>
    </row>
    <row r="182" spans="1:9" x14ac:dyDescent="0.15">
      <c r="A182" s="2">
        <v>3</v>
      </c>
      <c r="B182" s="1" t="s">
        <v>92</v>
      </c>
      <c r="C182" s="4">
        <v>200</v>
      </c>
      <c r="D182" s="8">
        <v>7.4</v>
      </c>
      <c r="E182" s="4">
        <v>175</v>
      </c>
      <c r="F182" s="8">
        <v>12.45</v>
      </c>
      <c r="G182" s="4">
        <v>24</v>
      </c>
      <c r="H182" s="8">
        <v>1.86</v>
      </c>
      <c r="I182" s="4">
        <v>1</v>
      </c>
    </row>
    <row r="183" spans="1:9" x14ac:dyDescent="0.15">
      <c r="A183" s="2">
        <v>4</v>
      </c>
      <c r="B183" s="1" t="s">
        <v>86</v>
      </c>
      <c r="C183" s="4">
        <v>194</v>
      </c>
      <c r="D183" s="8">
        <v>7.18</v>
      </c>
      <c r="E183" s="4">
        <v>62</v>
      </c>
      <c r="F183" s="8">
        <v>4.41</v>
      </c>
      <c r="G183" s="4">
        <v>132</v>
      </c>
      <c r="H183" s="8">
        <v>10.220000000000001</v>
      </c>
      <c r="I183" s="4">
        <v>0</v>
      </c>
    </row>
    <row r="184" spans="1:9" x14ac:dyDescent="0.15">
      <c r="A184" s="2">
        <v>5</v>
      </c>
      <c r="B184" s="1" t="s">
        <v>84</v>
      </c>
      <c r="C184" s="4">
        <v>182</v>
      </c>
      <c r="D184" s="8">
        <v>6.74</v>
      </c>
      <c r="E184" s="4">
        <v>97</v>
      </c>
      <c r="F184" s="8">
        <v>6.9</v>
      </c>
      <c r="G184" s="4">
        <v>85</v>
      </c>
      <c r="H184" s="8">
        <v>6.58</v>
      </c>
      <c r="I184" s="4">
        <v>0</v>
      </c>
    </row>
    <row r="185" spans="1:9" x14ac:dyDescent="0.15">
      <c r="A185" s="2">
        <v>6</v>
      </c>
      <c r="B185" s="1" t="s">
        <v>74</v>
      </c>
      <c r="C185" s="4">
        <v>161</v>
      </c>
      <c r="D185" s="8">
        <v>5.96</v>
      </c>
      <c r="E185" s="4">
        <v>40</v>
      </c>
      <c r="F185" s="8">
        <v>2.84</v>
      </c>
      <c r="G185" s="4">
        <v>121</v>
      </c>
      <c r="H185" s="8">
        <v>9.3699999999999992</v>
      </c>
      <c r="I185" s="4">
        <v>0</v>
      </c>
    </row>
    <row r="186" spans="1:9" x14ac:dyDescent="0.15">
      <c r="A186" s="2">
        <v>7</v>
      </c>
      <c r="B186" s="1" t="s">
        <v>82</v>
      </c>
      <c r="C186" s="4">
        <v>137</v>
      </c>
      <c r="D186" s="8">
        <v>5.07</v>
      </c>
      <c r="E186" s="4">
        <v>78</v>
      </c>
      <c r="F186" s="8">
        <v>5.55</v>
      </c>
      <c r="G186" s="4">
        <v>59</v>
      </c>
      <c r="H186" s="8">
        <v>4.57</v>
      </c>
      <c r="I186" s="4">
        <v>0</v>
      </c>
    </row>
    <row r="187" spans="1:9" x14ac:dyDescent="0.15">
      <c r="A187" s="2">
        <v>8</v>
      </c>
      <c r="B187" s="1" t="s">
        <v>93</v>
      </c>
      <c r="C187" s="4">
        <v>103</v>
      </c>
      <c r="D187" s="8">
        <v>3.81</v>
      </c>
      <c r="E187" s="4">
        <v>93</v>
      </c>
      <c r="F187" s="8">
        <v>6.61</v>
      </c>
      <c r="G187" s="4">
        <v>10</v>
      </c>
      <c r="H187" s="8">
        <v>0.77</v>
      </c>
      <c r="I187" s="4">
        <v>0</v>
      </c>
    </row>
    <row r="188" spans="1:9" x14ac:dyDescent="0.15">
      <c r="A188" s="2">
        <v>9</v>
      </c>
      <c r="B188" s="1" t="s">
        <v>81</v>
      </c>
      <c r="C188" s="4">
        <v>100</v>
      </c>
      <c r="D188" s="8">
        <v>3.7</v>
      </c>
      <c r="E188" s="4">
        <v>26</v>
      </c>
      <c r="F188" s="8">
        <v>1.85</v>
      </c>
      <c r="G188" s="4">
        <v>74</v>
      </c>
      <c r="H188" s="8">
        <v>5.73</v>
      </c>
      <c r="I188" s="4">
        <v>0</v>
      </c>
    </row>
    <row r="189" spans="1:9" x14ac:dyDescent="0.15">
      <c r="A189" s="2">
        <v>10</v>
      </c>
      <c r="B189" s="1" t="s">
        <v>75</v>
      </c>
      <c r="C189" s="4">
        <v>94</v>
      </c>
      <c r="D189" s="8">
        <v>3.48</v>
      </c>
      <c r="E189" s="4">
        <v>31</v>
      </c>
      <c r="F189" s="8">
        <v>2.2000000000000002</v>
      </c>
      <c r="G189" s="4">
        <v>63</v>
      </c>
      <c r="H189" s="8">
        <v>4.88</v>
      </c>
      <c r="I189" s="4">
        <v>0</v>
      </c>
    </row>
    <row r="190" spans="1:9" x14ac:dyDescent="0.15">
      <c r="A190" s="2">
        <v>11</v>
      </c>
      <c r="B190" s="1" t="s">
        <v>76</v>
      </c>
      <c r="C190" s="4">
        <v>89</v>
      </c>
      <c r="D190" s="8">
        <v>3.3</v>
      </c>
      <c r="E190" s="4">
        <v>27</v>
      </c>
      <c r="F190" s="8">
        <v>1.92</v>
      </c>
      <c r="G190" s="4">
        <v>62</v>
      </c>
      <c r="H190" s="8">
        <v>4.8</v>
      </c>
      <c r="I190" s="4">
        <v>0</v>
      </c>
    </row>
    <row r="191" spans="1:9" x14ac:dyDescent="0.15">
      <c r="A191" s="2">
        <v>12</v>
      </c>
      <c r="B191" s="1" t="s">
        <v>83</v>
      </c>
      <c r="C191" s="4">
        <v>80</v>
      </c>
      <c r="D191" s="8">
        <v>2.96</v>
      </c>
      <c r="E191" s="4">
        <v>41</v>
      </c>
      <c r="F191" s="8">
        <v>2.92</v>
      </c>
      <c r="G191" s="4">
        <v>39</v>
      </c>
      <c r="H191" s="8">
        <v>3.02</v>
      </c>
      <c r="I191" s="4">
        <v>0</v>
      </c>
    </row>
    <row r="192" spans="1:9" x14ac:dyDescent="0.15">
      <c r="A192" s="2">
        <v>13</v>
      </c>
      <c r="B192" s="1" t="s">
        <v>88</v>
      </c>
      <c r="C192" s="4">
        <v>59</v>
      </c>
      <c r="D192" s="8">
        <v>2.1800000000000002</v>
      </c>
      <c r="E192" s="4">
        <v>23</v>
      </c>
      <c r="F192" s="8">
        <v>1.64</v>
      </c>
      <c r="G192" s="4">
        <v>36</v>
      </c>
      <c r="H192" s="8">
        <v>2.79</v>
      </c>
      <c r="I192" s="4">
        <v>0</v>
      </c>
    </row>
    <row r="193" spans="1:9" x14ac:dyDescent="0.15">
      <c r="A193" s="2">
        <v>14</v>
      </c>
      <c r="B193" s="1" t="s">
        <v>94</v>
      </c>
      <c r="C193" s="4">
        <v>52</v>
      </c>
      <c r="D193" s="8">
        <v>1.93</v>
      </c>
      <c r="E193" s="4">
        <v>1</v>
      </c>
      <c r="F193" s="8">
        <v>7.0000000000000007E-2</v>
      </c>
      <c r="G193" s="4">
        <v>50</v>
      </c>
      <c r="H193" s="8">
        <v>3.87</v>
      </c>
      <c r="I193" s="4">
        <v>1</v>
      </c>
    </row>
    <row r="194" spans="1:9" x14ac:dyDescent="0.15">
      <c r="A194" s="2">
        <v>15</v>
      </c>
      <c r="B194" s="1" t="s">
        <v>91</v>
      </c>
      <c r="C194" s="4">
        <v>51</v>
      </c>
      <c r="D194" s="8">
        <v>1.89</v>
      </c>
      <c r="E194" s="4">
        <v>18</v>
      </c>
      <c r="F194" s="8">
        <v>1.28</v>
      </c>
      <c r="G194" s="4">
        <v>33</v>
      </c>
      <c r="H194" s="8">
        <v>2.56</v>
      </c>
      <c r="I194" s="4">
        <v>0</v>
      </c>
    </row>
    <row r="195" spans="1:9" x14ac:dyDescent="0.15">
      <c r="A195" s="2">
        <v>16</v>
      </c>
      <c r="B195" s="1" t="s">
        <v>80</v>
      </c>
      <c r="C195" s="4">
        <v>46</v>
      </c>
      <c r="D195" s="8">
        <v>1.7</v>
      </c>
      <c r="E195" s="4">
        <v>7</v>
      </c>
      <c r="F195" s="8">
        <v>0.5</v>
      </c>
      <c r="G195" s="4">
        <v>39</v>
      </c>
      <c r="H195" s="8">
        <v>3.02</v>
      </c>
      <c r="I195" s="4">
        <v>0</v>
      </c>
    </row>
    <row r="196" spans="1:9" x14ac:dyDescent="0.15">
      <c r="A196" s="2">
        <v>17</v>
      </c>
      <c r="B196" s="1" t="s">
        <v>78</v>
      </c>
      <c r="C196" s="4">
        <v>42</v>
      </c>
      <c r="D196" s="8">
        <v>1.55</v>
      </c>
      <c r="E196" s="4">
        <v>8</v>
      </c>
      <c r="F196" s="8">
        <v>0.56999999999999995</v>
      </c>
      <c r="G196" s="4">
        <v>34</v>
      </c>
      <c r="H196" s="8">
        <v>2.63</v>
      </c>
      <c r="I196" s="4">
        <v>0</v>
      </c>
    </row>
    <row r="197" spans="1:9" x14ac:dyDescent="0.15">
      <c r="A197" s="2">
        <v>17</v>
      </c>
      <c r="B197" s="1" t="s">
        <v>87</v>
      </c>
      <c r="C197" s="4">
        <v>42</v>
      </c>
      <c r="D197" s="8">
        <v>1.55</v>
      </c>
      <c r="E197" s="4">
        <v>22</v>
      </c>
      <c r="F197" s="8">
        <v>1.56</v>
      </c>
      <c r="G197" s="4">
        <v>20</v>
      </c>
      <c r="H197" s="8">
        <v>1.55</v>
      </c>
      <c r="I197" s="4">
        <v>0</v>
      </c>
    </row>
    <row r="198" spans="1:9" x14ac:dyDescent="0.15">
      <c r="A198" s="2">
        <v>19</v>
      </c>
      <c r="B198" s="1" t="s">
        <v>104</v>
      </c>
      <c r="C198" s="4">
        <v>39</v>
      </c>
      <c r="D198" s="8">
        <v>1.44</v>
      </c>
      <c r="E198" s="4">
        <v>38</v>
      </c>
      <c r="F198" s="8">
        <v>2.7</v>
      </c>
      <c r="G198" s="4">
        <v>1</v>
      </c>
      <c r="H198" s="8">
        <v>0.08</v>
      </c>
      <c r="I198" s="4">
        <v>0</v>
      </c>
    </row>
    <row r="199" spans="1:9" x14ac:dyDescent="0.15">
      <c r="A199" s="2">
        <v>20</v>
      </c>
      <c r="B199" s="1" t="s">
        <v>85</v>
      </c>
      <c r="C199" s="4">
        <v>35</v>
      </c>
      <c r="D199" s="8">
        <v>1.3</v>
      </c>
      <c r="E199" s="4">
        <v>9</v>
      </c>
      <c r="F199" s="8">
        <v>0.64</v>
      </c>
      <c r="G199" s="4">
        <v>26</v>
      </c>
      <c r="H199" s="8">
        <v>2.0099999999999998</v>
      </c>
      <c r="I199" s="4">
        <v>0</v>
      </c>
    </row>
    <row r="200" spans="1:9" x14ac:dyDescent="0.15">
      <c r="A200" s="2">
        <v>20</v>
      </c>
      <c r="B200" s="1" t="s">
        <v>105</v>
      </c>
      <c r="C200" s="4">
        <v>35</v>
      </c>
      <c r="D200" s="8">
        <v>1.3</v>
      </c>
      <c r="E200" s="4">
        <v>13</v>
      </c>
      <c r="F200" s="8">
        <v>0.92</v>
      </c>
      <c r="G200" s="4">
        <v>22</v>
      </c>
      <c r="H200" s="8">
        <v>1.7</v>
      </c>
      <c r="I200" s="4">
        <v>0</v>
      </c>
    </row>
    <row r="201" spans="1:9" x14ac:dyDescent="0.15">
      <c r="A201" s="1"/>
      <c r="C201" s="4"/>
      <c r="D201" s="8"/>
      <c r="E201" s="4"/>
      <c r="F201" s="8"/>
      <c r="G201" s="4"/>
      <c r="H201" s="8"/>
      <c r="I201" s="4"/>
    </row>
    <row r="202" spans="1:9" x14ac:dyDescent="0.15">
      <c r="A202" s="1" t="s">
        <v>9</v>
      </c>
      <c r="C202" s="4"/>
      <c r="D202" s="8"/>
      <c r="E202" s="4"/>
      <c r="F202" s="8"/>
      <c r="G202" s="4"/>
      <c r="H202" s="8"/>
      <c r="I202" s="4"/>
    </row>
    <row r="203" spans="1:9" x14ac:dyDescent="0.15">
      <c r="A203" s="2">
        <v>1</v>
      </c>
      <c r="B203" s="1" t="s">
        <v>89</v>
      </c>
      <c r="C203" s="4">
        <v>2787</v>
      </c>
      <c r="D203" s="8">
        <v>25.39</v>
      </c>
      <c r="E203" s="4">
        <v>2518</v>
      </c>
      <c r="F203" s="8">
        <v>43.59</v>
      </c>
      <c r="G203" s="4">
        <v>269</v>
      </c>
      <c r="H203" s="8">
        <v>5.2</v>
      </c>
      <c r="I203" s="4">
        <v>0</v>
      </c>
    </row>
    <row r="204" spans="1:9" x14ac:dyDescent="0.15">
      <c r="A204" s="2">
        <v>2</v>
      </c>
      <c r="B204" s="1" t="s">
        <v>87</v>
      </c>
      <c r="C204" s="4">
        <v>856</v>
      </c>
      <c r="D204" s="8">
        <v>7.8</v>
      </c>
      <c r="E204" s="4">
        <v>664</v>
      </c>
      <c r="F204" s="8">
        <v>11.49</v>
      </c>
      <c r="G204" s="4">
        <v>190</v>
      </c>
      <c r="H204" s="8">
        <v>3.67</v>
      </c>
      <c r="I204" s="4">
        <v>2</v>
      </c>
    </row>
    <row r="205" spans="1:9" x14ac:dyDescent="0.15">
      <c r="A205" s="2">
        <v>3</v>
      </c>
      <c r="B205" s="1" t="s">
        <v>81</v>
      </c>
      <c r="C205" s="4">
        <v>806</v>
      </c>
      <c r="D205" s="8">
        <v>7.34</v>
      </c>
      <c r="E205" s="4">
        <v>342</v>
      </c>
      <c r="F205" s="8">
        <v>5.92</v>
      </c>
      <c r="G205" s="4">
        <v>464</v>
      </c>
      <c r="H205" s="8">
        <v>8.9700000000000006</v>
      </c>
      <c r="I205" s="4">
        <v>0</v>
      </c>
    </row>
    <row r="206" spans="1:9" x14ac:dyDescent="0.15">
      <c r="A206" s="2">
        <v>4</v>
      </c>
      <c r="B206" s="1" t="s">
        <v>86</v>
      </c>
      <c r="C206" s="4">
        <v>785</v>
      </c>
      <c r="D206" s="8">
        <v>7.15</v>
      </c>
      <c r="E206" s="4">
        <v>256</v>
      </c>
      <c r="F206" s="8">
        <v>4.43</v>
      </c>
      <c r="G206" s="4">
        <v>525</v>
      </c>
      <c r="H206" s="8">
        <v>10.15</v>
      </c>
      <c r="I206" s="4">
        <v>4</v>
      </c>
    </row>
    <row r="207" spans="1:9" x14ac:dyDescent="0.15">
      <c r="A207" s="2">
        <v>5</v>
      </c>
      <c r="B207" s="1" t="s">
        <v>84</v>
      </c>
      <c r="C207" s="4">
        <v>750</v>
      </c>
      <c r="D207" s="8">
        <v>6.83</v>
      </c>
      <c r="E207" s="4">
        <v>338</v>
      </c>
      <c r="F207" s="8">
        <v>5.85</v>
      </c>
      <c r="G207" s="4">
        <v>411</v>
      </c>
      <c r="H207" s="8">
        <v>7.95</v>
      </c>
      <c r="I207" s="4">
        <v>1</v>
      </c>
    </row>
    <row r="208" spans="1:9" x14ac:dyDescent="0.15">
      <c r="A208" s="2">
        <v>6</v>
      </c>
      <c r="B208" s="1" t="s">
        <v>90</v>
      </c>
      <c r="C208" s="4">
        <v>610</v>
      </c>
      <c r="D208" s="8">
        <v>5.56</v>
      </c>
      <c r="E208" s="4">
        <v>476</v>
      </c>
      <c r="F208" s="8">
        <v>8.24</v>
      </c>
      <c r="G208" s="4">
        <v>134</v>
      </c>
      <c r="H208" s="8">
        <v>2.59</v>
      </c>
      <c r="I208" s="4">
        <v>0</v>
      </c>
    </row>
    <row r="209" spans="1:9" x14ac:dyDescent="0.15">
      <c r="A209" s="2">
        <v>7</v>
      </c>
      <c r="B209" s="1" t="s">
        <v>82</v>
      </c>
      <c r="C209" s="4">
        <v>354</v>
      </c>
      <c r="D209" s="8">
        <v>3.23</v>
      </c>
      <c r="E209" s="4">
        <v>196</v>
      </c>
      <c r="F209" s="8">
        <v>3.39</v>
      </c>
      <c r="G209" s="4">
        <v>157</v>
      </c>
      <c r="H209" s="8">
        <v>3.03</v>
      </c>
      <c r="I209" s="4">
        <v>1</v>
      </c>
    </row>
    <row r="210" spans="1:9" x14ac:dyDescent="0.15">
      <c r="A210" s="2">
        <v>8</v>
      </c>
      <c r="B210" s="1" t="s">
        <v>93</v>
      </c>
      <c r="C210" s="4">
        <v>304</v>
      </c>
      <c r="D210" s="8">
        <v>2.77</v>
      </c>
      <c r="E210" s="4">
        <v>240</v>
      </c>
      <c r="F210" s="8">
        <v>4.1500000000000004</v>
      </c>
      <c r="G210" s="4">
        <v>64</v>
      </c>
      <c r="H210" s="8">
        <v>1.24</v>
      </c>
      <c r="I210" s="4">
        <v>0</v>
      </c>
    </row>
    <row r="211" spans="1:9" x14ac:dyDescent="0.15">
      <c r="A211" s="2">
        <v>9</v>
      </c>
      <c r="B211" s="1" t="s">
        <v>88</v>
      </c>
      <c r="C211" s="4">
        <v>257</v>
      </c>
      <c r="D211" s="8">
        <v>2.34</v>
      </c>
      <c r="E211" s="4">
        <v>80</v>
      </c>
      <c r="F211" s="8">
        <v>1.38</v>
      </c>
      <c r="G211" s="4">
        <v>176</v>
      </c>
      <c r="H211" s="8">
        <v>3.4</v>
      </c>
      <c r="I211" s="4">
        <v>1</v>
      </c>
    </row>
    <row r="212" spans="1:9" x14ac:dyDescent="0.15">
      <c r="A212" s="2">
        <v>10</v>
      </c>
      <c r="B212" s="1" t="s">
        <v>92</v>
      </c>
      <c r="C212" s="4">
        <v>243</v>
      </c>
      <c r="D212" s="8">
        <v>2.21</v>
      </c>
      <c r="E212" s="4">
        <v>133</v>
      </c>
      <c r="F212" s="8">
        <v>2.2999999999999998</v>
      </c>
      <c r="G212" s="4">
        <v>107</v>
      </c>
      <c r="H212" s="8">
        <v>2.0699999999999998</v>
      </c>
      <c r="I212" s="4">
        <v>3</v>
      </c>
    </row>
    <row r="213" spans="1:9" x14ac:dyDescent="0.15">
      <c r="A213" s="2">
        <v>11</v>
      </c>
      <c r="B213" s="1" t="s">
        <v>85</v>
      </c>
      <c r="C213" s="4">
        <v>235</v>
      </c>
      <c r="D213" s="8">
        <v>2.14</v>
      </c>
      <c r="E213" s="4">
        <v>32</v>
      </c>
      <c r="F213" s="8">
        <v>0.55000000000000004</v>
      </c>
      <c r="G213" s="4">
        <v>202</v>
      </c>
      <c r="H213" s="8">
        <v>3.9</v>
      </c>
      <c r="I213" s="4">
        <v>1</v>
      </c>
    </row>
    <row r="214" spans="1:9" x14ac:dyDescent="0.15">
      <c r="A214" s="2">
        <v>12</v>
      </c>
      <c r="B214" s="1" t="s">
        <v>80</v>
      </c>
      <c r="C214" s="4">
        <v>227</v>
      </c>
      <c r="D214" s="8">
        <v>2.0699999999999998</v>
      </c>
      <c r="E214" s="4">
        <v>36</v>
      </c>
      <c r="F214" s="8">
        <v>0.62</v>
      </c>
      <c r="G214" s="4">
        <v>191</v>
      </c>
      <c r="H214" s="8">
        <v>3.69</v>
      </c>
      <c r="I214" s="4">
        <v>0</v>
      </c>
    </row>
    <row r="215" spans="1:9" x14ac:dyDescent="0.15">
      <c r="A215" s="2">
        <v>13</v>
      </c>
      <c r="B215" s="1" t="s">
        <v>74</v>
      </c>
      <c r="C215" s="4">
        <v>222</v>
      </c>
      <c r="D215" s="8">
        <v>2.02</v>
      </c>
      <c r="E215" s="4">
        <v>9</v>
      </c>
      <c r="F215" s="8">
        <v>0.16</v>
      </c>
      <c r="G215" s="4">
        <v>212</v>
      </c>
      <c r="H215" s="8">
        <v>4.0999999999999996</v>
      </c>
      <c r="I215" s="4">
        <v>1</v>
      </c>
    </row>
    <row r="216" spans="1:9" x14ac:dyDescent="0.15">
      <c r="A216" s="2">
        <v>14</v>
      </c>
      <c r="B216" s="1" t="s">
        <v>97</v>
      </c>
      <c r="C216" s="4">
        <v>189</v>
      </c>
      <c r="D216" s="8">
        <v>1.72</v>
      </c>
      <c r="E216" s="4">
        <v>24</v>
      </c>
      <c r="F216" s="8">
        <v>0.42</v>
      </c>
      <c r="G216" s="4">
        <v>163</v>
      </c>
      <c r="H216" s="8">
        <v>3.15</v>
      </c>
      <c r="I216" s="4">
        <v>2</v>
      </c>
    </row>
    <row r="217" spans="1:9" x14ac:dyDescent="0.15">
      <c r="A217" s="2">
        <v>15</v>
      </c>
      <c r="B217" s="1" t="s">
        <v>79</v>
      </c>
      <c r="C217" s="4">
        <v>185</v>
      </c>
      <c r="D217" s="8">
        <v>1.69</v>
      </c>
      <c r="E217" s="4">
        <v>5</v>
      </c>
      <c r="F217" s="8">
        <v>0.09</v>
      </c>
      <c r="G217" s="4">
        <v>180</v>
      </c>
      <c r="H217" s="8">
        <v>3.48</v>
      </c>
      <c r="I217" s="4">
        <v>0</v>
      </c>
    </row>
    <row r="218" spans="1:9" x14ac:dyDescent="0.15">
      <c r="A218" s="2">
        <v>16</v>
      </c>
      <c r="B218" s="1" t="s">
        <v>91</v>
      </c>
      <c r="C218" s="4">
        <v>184</v>
      </c>
      <c r="D218" s="8">
        <v>1.68</v>
      </c>
      <c r="E218" s="4">
        <v>66</v>
      </c>
      <c r="F218" s="8">
        <v>1.1399999999999999</v>
      </c>
      <c r="G218" s="4">
        <v>118</v>
      </c>
      <c r="H218" s="8">
        <v>2.2799999999999998</v>
      </c>
      <c r="I218" s="4">
        <v>0</v>
      </c>
    </row>
    <row r="219" spans="1:9" x14ac:dyDescent="0.15">
      <c r="A219" s="2">
        <v>17</v>
      </c>
      <c r="B219" s="1" t="s">
        <v>76</v>
      </c>
      <c r="C219" s="4">
        <v>134</v>
      </c>
      <c r="D219" s="8">
        <v>1.22</v>
      </c>
      <c r="E219" s="4">
        <v>11</v>
      </c>
      <c r="F219" s="8">
        <v>0.19</v>
      </c>
      <c r="G219" s="4">
        <v>123</v>
      </c>
      <c r="H219" s="8">
        <v>2.38</v>
      </c>
      <c r="I219" s="4">
        <v>0</v>
      </c>
    </row>
    <row r="220" spans="1:9" x14ac:dyDescent="0.15">
      <c r="A220" s="2">
        <v>18</v>
      </c>
      <c r="B220" s="1" t="s">
        <v>96</v>
      </c>
      <c r="C220" s="4">
        <v>133</v>
      </c>
      <c r="D220" s="8">
        <v>1.21</v>
      </c>
      <c r="E220" s="4">
        <v>27</v>
      </c>
      <c r="F220" s="8">
        <v>0.47</v>
      </c>
      <c r="G220" s="4">
        <v>106</v>
      </c>
      <c r="H220" s="8">
        <v>2.0499999999999998</v>
      </c>
      <c r="I220" s="4">
        <v>0</v>
      </c>
    </row>
    <row r="221" spans="1:9" x14ac:dyDescent="0.15">
      <c r="A221" s="2">
        <v>19</v>
      </c>
      <c r="B221" s="1" t="s">
        <v>102</v>
      </c>
      <c r="C221" s="4">
        <v>117</v>
      </c>
      <c r="D221" s="8">
        <v>1.07</v>
      </c>
      <c r="E221" s="4">
        <v>14</v>
      </c>
      <c r="F221" s="8">
        <v>0.24</v>
      </c>
      <c r="G221" s="4">
        <v>103</v>
      </c>
      <c r="H221" s="8">
        <v>1.99</v>
      </c>
      <c r="I221" s="4">
        <v>0</v>
      </c>
    </row>
    <row r="222" spans="1:9" x14ac:dyDescent="0.15">
      <c r="A222" s="2">
        <v>20</v>
      </c>
      <c r="B222" s="1" t="s">
        <v>78</v>
      </c>
      <c r="C222" s="4">
        <v>114</v>
      </c>
      <c r="D222" s="8">
        <v>1.04</v>
      </c>
      <c r="E222" s="4">
        <v>7</v>
      </c>
      <c r="F222" s="8">
        <v>0.12</v>
      </c>
      <c r="G222" s="4">
        <v>107</v>
      </c>
      <c r="H222" s="8">
        <v>2.0699999999999998</v>
      </c>
      <c r="I222" s="4">
        <v>0</v>
      </c>
    </row>
    <row r="223" spans="1:9" x14ac:dyDescent="0.15">
      <c r="A223" s="1"/>
      <c r="C223" s="4"/>
      <c r="D223" s="8"/>
      <c r="E223" s="4"/>
      <c r="F223" s="8"/>
      <c r="G223" s="4"/>
      <c r="H223" s="8"/>
      <c r="I223" s="4"/>
    </row>
    <row r="224" spans="1:9" x14ac:dyDescent="0.15">
      <c r="A224" s="1" t="s">
        <v>10</v>
      </c>
      <c r="C224" s="4"/>
      <c r="D224" s="8"/>
      <c r="E224" s="4"/>
      <c r="F224" s="8"/>
      <c r="G224" s="4"/>
      <c r="H224" s="8"/>
      <c r="I224" s="4"/>
    </row>
    <row r="225" spans="1:9" x14ac:dyDescent="0.15">
      <c r="A225" s="2">
        <v>1</v>
      </c>
      <c r="B225" s="1" t="s">
        <v>86</v>
      </c>
      <c r="C225" s="4">
        <v>272</v>
      </c>
      <c r="D225" s="8">
        <v>8.68</v>
      </c>
      <c r="E225" s="4">
        <v>120</v>
      </c>
      <c r="F225" s="8">
        <v>8.68</v>
      </c>
      <c r="G225" s="4">
        <v>152</v>
      </c>
      <c r="H225" s="8">
        <v>8.69</v>
      </c>
      <c r="I225" s="4">
        <v>0</v>
      </c>
    </row>
    <row r="226" spans="1:9" x14ac:dyDescent="0.15">
      <c r="A226" s="2">
        <v>2</v>
      </c>
      <c r="B226" s="1" t="s">
        <v>90</v>
      </c>
      <c r="C226" s="4">
        <v>233</v>
      </c>
      <c r="D226" s="8">
        <v>7.43</v>
      </c>
      <c r="E226" s="4">
        <v>181</v>
      </c>
      <c r="F226" s="8">
        <v>13.09</v>
      </c>
      <c r="G226" s="4">
        <v>52</v>
      </c>
      <c r="H226" s="8">
        <v>2.97</v>
      </c>
      <c r="I226" s="4">
        <v>0</v>
      </c>
    </row>
    <row r="227" spans="1:9" x14ac:dyDescent="0.15">
      <c r="A227" s="2">
        <v>3</v>
      </c>
      <c r="B227" s="1" t="s">
        <v>74</v>
      </c>
      <c r="C227" s="4">
        <v>216</v>
      </c>
      <c r="D227" s="8">
        <v>6.89</v>
      </c>
      <c r="E227" s="4">
        <v>60</v>
      </c>
      <c r="F227" s="8">
        <v>4.34</v>
      </c>
      <c r="G227" s="4">
        <v>156</v>
      </c>
      <c r="H227" s="8">
        <v>8.92</v>
      </c>
      <c r="I227" s="4">
        <v>0</v>
      </c>
    </row>
    <row r="228" spans="1:9" x14ac:dyDescent="0.15">
      <c r="A228" s="2">
        <v>4</v>
      </c>
      <c r="B228" s="1" t="s">
        <v>89</v>
      </c>
      <c r="C228" s="4">
        <v>207</v>
      </c>
      <c r="D228" s="8">
        <v>6.6</v>
      </c>
      <c r="E228" s="4">
        <v>177</v>
      </c>
      <c r="F228" s="8">
        <v>12.8</v>
      </c>
      <c r="G228" s="4">
        <v>30</v>
      </c>
      <c r="H228" s="8">
        <v>1.72</v>
      </c>
      <c r="I228" s="4">
        <v>0</v>
      </c>
    </row>
    <row r="229" spans="1:9" x14ac:dyDescent="0.15">
      <c r="A229" s="2">
        <v>5</v>
      </c>
      <c r="B229" s="1" t="s">
        <v>84</v>
      </c>
      <c r="C229" s="4">
        <v>155</v>
      </c>
      <c r="D229" s="8">
        <v>4.9400000000000004</v>
      </c>
      <c r="E229" s="4">
        <v>70</v>
      </c>
      <c r="F229" s="8">
        <v>5.0599999999999996</v>
      </c>
      <c r="G229" s="4">
        <v>85</v>
      </c>
      <c r="H229" s="8">
        <v>4.8600000000000003</v>
      </c>
      <c r="I229" s="4">
        <v>0</v>
      </c>
    </row>
    <row r="230" spans="1:9" x14ac:dyDescent="0.15">
      <c r="A230" s="2">
        <v>6</v>
      </c>
      <c r="B230" s="1" t="s">
        <v>92</v>
      </c>
      <c r="C230" s="4">
        <v>143</v>
      </c>
      <c r="D230" s="8">
        <v>4.5599999999999996</v>
      </c>
      <c r="E230" s="4">
        <v>116</v>
      </c>
      <c r="F230" s="8">
        <v>8.39</v>
      </c>
      <c r="G230" s="4">
        <v>27</v>
      </c>
      <c r="H230" s="8">
        <v>1.54</v>
      </c>
      <c r="I230" s="4">
        <v>0</v>
      </c>
    </row>
    <row r="231" spans="1:9" x14ac:dyDescent="0.15">
      <c r="A231" s="2">
        <v>7</v>
      </c>
      <c r="B231" s="1" t="s">
        <v>83</v>
      </c>
      <c r="C231" s="4">
        <v>136</v>
      </c>
      <c r="D231" s="8">
        <v>4.34</v>
      </c>
      <c r="E231" s="4">
        <v>77</v>
      </c>
      <c r="F231" s="8">
        <v>5.57</v>
      </c>
      <c r="G231" s="4">
        <v>59</v>
      </c>
      <c r="H231" s="8">
        <v>3.37</v>
      </c>
      <c r="I231" s="4">
        <v>0</v>
      </c>
    </row>
    <row r="232" spans="1:9" x14ac:dyDescent="0.15">
      <c r="A232" s="2">
        <v>8</v>
      </c>
      <c r="B232" s="1" t="s">
        <v>75</v>
      </c>
      <c r="C232" s="4">
        <v>124</v>
      </c>
      <c r="D232" s="8">
        <v>3.96</v>
      </c>
      <c r="E232" s="4">
        <v>35</v>
      </c>
      <c r="F232" s="8">
        <v>2.5299999999999998</v>
      </c>
      <c r="G232" s="4">
        <v>89</v>
      </c>
      <c r="H232" s="8">
        <v>5.09</v>
      </c>
      <c r="I232" s="4">
        <v>0</v>
      </c>
    </row>
    <row r="233" spans="1:9" x14ac:dyDescent="0.15">
      <c r="A233" s="2">
        <v>9</v>
      </c>
      <c r="B233" s="1" t="s">
        <v>76</v>
      </c>
      <c r="C233" s="4">
        <v>115</v>
      </c>
      <c r="D233" s="8">
        <v>3.67</v>
      </c>
      <c r="E233" s="4">
        <v>28</v>
      </c>
      <c r="F233" s="8">
        <v>2.02</v>
      </c>
      <c r="G233" s="4">
        <v>87</v>
      </c>
      <c r="H233" s="8">
        <v>4.97</v>
      </c>
      <c r="I233" s="4">
        <v>0</v>
      </c>
    </row>
    <row r="234" spans="1:9" x14ac:dyDescent="0.15">
      <c r="A234" s="2">
        <v>10</v>
      </c>
      <c r="B234" s="1" t="s">
        <v>82</v>
      </c>
      <c r="C234" s="4">
        <v>113</v>
      </c>
      <c r="D234" s="8">
        <v>3.6</v>
      </c>
      <c r="E234" s="4">
        <v>66</v>
      </c>
      <c r="F234" s="8">
        <v>4.7699999999999996</v>
      </c>
      <c r="G234" s="4">
        <v>46</v>
      </c>
      <c r="H234" s="8">
        <v>2.63</v>
      </c>
      <c r="I234" s="4">
        <v>1</v>
      </c>
    </row>
    <row r="235" spans="1:9" x14ac:dyDescent="0.15">
      <c r="A235" s="2">
        <v>11</v>
      </c>
      <c r="B235" s="1" t="s">
        <v>93</v>
      </c>
      <c r="C235" s="4">
        <v>92</v>
      </c>
      <c r="D235" s="8">
        <v>2.93</v>
      </c>
      <c r="E235" s="4">
        <v>80</v>
      </c>
      <c r="F235" s="8">
        <v>5.78</v>
      </c>
      <c r="G235" s="4">
        <v>12</v>
      </c>
      <c r="H235" s="8">
        <v>0.69</v>
      </c>
      <c r="I235" s="4">
        <v>0</v>
      </c>
    </row>
    <row r="236" spans="1:9" x14ac:dyDescent="0.15">
      <c r="A236" s="2">
        <v>12</v>
      </c>
      <c r="B236" s="1" t="s">
        <v>78</v>
      </c>
      <c r="C236" s="4">
        <v>83</v>
      </c>
      <c r="D236" s="8">
        <v>2.65</v>
      </c>
      <c r="E236" s="4">
        <v>8</v>
      </c>
      <c r="F236" s="8">
        <v>0.57999999999999996</v>
      </c>
      <c r="G236" s="4">
        <v>75</v>
      </c>
      <c r="H236" s="8">
        <v>4.29</v>
      </c>
      <c r="I236" s="4">
        <v>0</v>
      </c>
    </row>
    <row r="237" spans="1:9" x14ac:dyDescent="0.15">
      <c r="A237" s="2">
        <v>13</v>
      </c>
      <c r="B237" s="1" t="s">
        <v>88</v>
      </c>
      <c r="C237" s="4">
        <v>77</v>
      </c>
      <c r="D237" s="8">
        <v>2.46</v>
      </c>
      <c r="E237" s="4">
        <v>25</v>
      </c>
      <c r="F237" s="8">
        <v>1.81</v>
      </c>
      <c r="G237" s="4">
        <v>52</v>
      </c>
      <c r="H237" s="8">
        <v>2.97</v>
      </c>
      <c r="I237" s="4">
        <v>0</v>
      </c>
    </row>
    <row r="238" spans="1:9" x14ac:dyDescent="0.15">
      <c r="A238" s="2">
        <v>14</v>
      </c>
      <c r="B238" s="1" t="s">
        <v>106</v>
      </c>
      <c r="C238" s="4">
        <v>74</v>
      </c>
      <c r="D238" s="8">
        <v>2.36</v>
      </c>
      <c r="E238" s="4">
        <v>56</v>
      </c>
      <c r="F238" s="8">
        <v>4.05</v>
      </c>
      <c r="G238" s="4">
        <v>18</v>
      </c>
      <c r="H238" s="8">
        <v>1.03</v>
      </c>
      <c r="I238" s="4">
        <v>0</v>
      </c>
    </row>
    <row r="239" spans="1:9" x14ac:dyDescent="0.15">
      <c r="A239" s="2">
        <v>15</v>
      </c>
      <c r="B239" s="1" t="s">
        <v>77</v>
      </c>
      <c r="C239" s="4">
        <v>71</v>
      </c>
      <c r="D239" s="8">
        <v>2.2599999999999998</v>
      </c>
      <c r="E239" s="4">
        <v>25</v>
      </c>
      <c r="F239" s="8">
        <v>1.81</v>
      </c>
      <c r="G239" s="4">
        <v>46</v>
      </c>
      <c r="H239" s="8">
        <v>2.63</v>
      </c>
      <c r="I239" s="4">
        <v>0</v>
      </c>
    </row>
    <row r="240" spans="1:9" x14ac:dyDescent="0.15">
      <c r="A240" s="2">
        <v>16</v>
      </c>
      <c r="B240" s="1" t="s">
        <v>81</v>
      </c>
      <c r="C240" s="4">
        <v>70</v>
      </c>
      <c r="D240" s="8">
        <v>2.23</v>
      </c>
      <c r="E240" s="4">
        <v>24</v>
      </c>
      <c r="F240" s="8">
        <v>1.74</v>
      </c>
      <c r="G240" s="4">
        <v>46</v>
      </c>
      <c r="H240" s="8">
        <v>2.63</v>
      </c>
      <c r="I240" s="4">
        <v>0</v>
      </c>
    </row>
    <row r="241" spans="1:9" x14ac:dyDescent="0.15">
      <c r="A241" s="2">
        <v>17</v>
      </c>
      <c r="B241" s="1" t="s">
        <v>94</v>
      </c>
      <c r="C241" s="4">
        <v>64</v>
      </c>
      <c r="D241" s="8">
        <v>2.04</v>
      </c>
      <c r="E241" s="4">
        <v>3</v>
      </c>
      <c r="F241" s="8">
        <v>0.22</v>
      </c>
      <c r="G241" s="4">
        <v>61</v>
      </c>
      <c r="H241" s="8">
        <v>3.49</v>
      </c>
      <c r="I241" s="4">
        <v>0</v>
      </c>
    </row>
    <row r="242" spans="1:9" x14ac:dyDescent="0.15">
      <c r="A242" s="2">
        <v>18</v>
      </c>
      <c r="B242" s="1" t="s">
        <v>101</v>
      </c>
      <c r="C242" s="4">
        <v>56</v>
      </c>
      <c r="D242" s="8">
        <v>1.79</v>
      </c>
      <c r="E242" s="4">
        <v>15</v>
      </c>
      <c r="F242" s="8">
        <v>1.08</v>
      </c>
      <c r="G242" s="4">
        <v>41</v>
      </c>
      <c r="H242" s="8">
        <v>2.34</v>
      </c>
      <c r="I242" s="4">
        <v>0</v>
      </c>
    </row>
    <row r="243" spans="1:9" x14ac:dyDescent="0.15">
      <c r="A243" s="2">
        <v>18</v>
      </c>
      <c r="B243" s="1" t="s">
        <v>79</v>
      </c>
      <c r="C243" s="4">
        <v>56</v>
      </c>
      <c r="D243" s="8">
        <v>1.79</v>
      </c>
      <c r="E243" s="4">
        <v>6</v>
      </c>
      <c r="F243" s="8">
        <v>0.43</v>
      </c>
      <c r="G243" s="4">
        <v>50</v>
      </c>
      <c r="H243" s="8">
        <v>2.86</v>
      </c>
      <c r="I243" s="4">
        <v>0</v>
      </c>
    </row>
    <row r="244" spans="1:9" x14ac:dyDescent="0.15">
      <c r="A244" s="2">
        <v>20</v>
      </c>
      <c r="B244" s="1" t="s">
        <v>87</v>
      </c>
      <c r="C244" s="4">
        <v>52</v>
      </c>
      <c r="D244" s="8">
        <v>1.66</v>
      </c>
      <c r="E244" s="4">
        <v>30</v>
      </c>
      <c r="F244" s="8">
        <v>2.17</v>
      </c>
      <c r="G244" s="4">
        <v>22</v>
      </c>
      <c r="H244" s="8">
        <v>1.26</v>
      </c>
      <c r="I244" s="4">
        <v>0</v>
      </c>
    </row>
    <row r="245" spans="1:9" x14ac:dyDescent="0.15">
      <c r="A245" s="1"/>
      <c r="C245" s="4"/>
      <c r="D245" s="8"/>
      <c r="E245" s="4"/>
      <c r="F245" s="8"/>
      <c r="G245" s="4"/>
      <c r="H245" s="8"/>
      <c r="I245" s="4"/>
    </row>
    <row r="246" spans="1:9" x14ac:dyDescent="0.15">
      <c r="A246" s="1" t="s">
        <v>11</v>
      </c>
      <c r="C246" s="4"/>
      <c r="D246" s="8"/>
      <c r="E246" s="4"/>
      <c r="F246" s="8"/>
      <c r="G246" s="4"/>
      <c r="H246" s="8"/>
      <c r="I246" s="4"/>
    </row>
    <row r="247" spans="1:9" x14ac:dyDescent="0.15">
      <c r="A247" s="2">
        <v>1</v>
      </c>
      <c r="B247" s="1" t="s">
        <v>89</v>
      </c>
      <c r="C247" s="4">
        <v>1843</v>
      </c>
      <c r="D247" s="8">
        <v>13.42</v>
      </c>
      <c r="E247" s="4">
        <v>1722</v>
      </c>
      <c r="F247" s="8">
        <v>20.79</v>
      </c>
      <c r="G247" s="4">
        <v>120</v>
      </c>
      <c r="H247" s="8">
        <v>2.21</v>
      </c>
      <c r="I247" s="4">
        <v>1</v>
      </c>
    </row>
    <row r="248" spans="1:9" x14ac:dyDescent="0.15">
      <c r="A248" s="2">
        <v>2</v>
      </c>
      <c r="B248" s="1" t="s">
        <v>90</v>
      </c>
      <c r="C248" s="4">
        <v>1348</v>
      </c>
      <c r="D248" s="8">
        <v>9.82</v>
      </c>
      <c r="E248" s="4">
        <v>1140</v>
      </c>
      <c r="F248" s="8">
        <v>13.76</v>
      </c>
      <c r="G248" s="4">
        <v>208</v>
      </c>
      <c r="H248" s="8">
        <v>3.83</v>
      </c>
      <c r="I248" s="4">
        <v>0</v>
      </c>
    </row>
    <row r="249" spans="1:9" x14ac:dyDescent="0.15">
      <c r="A249" s="2">
        <v>3</v>
      </c>
      <c r="B249" s="1" t="s">
        <v>84</v>
      </c>
      <c r="C249" s="4">
        <v>1028</v>
      </c>
      <c r="D249" s="8">
        <v>7.49</v>
      </c>
      <c r="E249" s="4">
        <v>645</v>
      </c>
      <c r="F249" s="8">
        <v>7.79</v>
      </c>
      <c r="G249" s="4">
        <v>383</v>
      </c>
      <c r="H249" s="8">
        <v>7.05</v>
      </c>
      <c r="I249" s="4">
        <v>0</v>
      </c>
    </row>
    <row r="250" spans="1:9" x14ac:dyDescent="0.15">
      <c r="A250" s="2">
        <v>4</v>
      </c>
      <c r="B250" s="1" t="s">
        <v>86</v>
      </c>
      <c r="C250" s="4">
        <v>882</v>
      </c>
      <c r="D250" s="8">
        <v>6.42</v>
      </c>
      <c r="E250" s="4">
        <v>516</v>
      </c>
      <c r="F250" s="8">
        <v>6.23</v>
      </c>
      <c r="G250" s="4">
        <v>362</v>
      </c>
      <c r="H250" s="8">
        <v>6.67</v>
      </c>
      <c r="I250" s="4">
        <v>4</v>
      </c>
    </row>
    <row r="251" spans="1:9" x14ac:dyDescent="0.15">
      <c r="A251" s="2">
        <v>5</v>
      </c>
      <c r="B251" s="1" t="s">
        <v>74</v>
      </c>
      <c r="C251" s="4">
        <v>841</v>
      </c>
      <c r="D251" s="8">
        <v>6.12</v>
      </c>
      <c r="E251" s="4">
        <v>242</v>
      </c>
      <c r="F251" s="8">
        <v>2.92</v>
      </c>
      <c r="G251" s="4">
        <v>599</v>
      </c>
      <c r="H251" s="8">
        <v>11.03</v>
      </c>
      <c r="I251" s="4">
        <v>0</v>
      </c>
    </row>
    <row r="252" spans="1:9" x14ac:dyDescent="0.15">
      <c r="A252" s="2">
        <v>6</v>
      </c>
      <c r="B252" s="1" t="s">
        <v>82</v>
      </c>
      <c r="C252" s="4">
        <v>639</v>
      </c>
      <c r="D252" s="8">
        <v>4.6500000000000004</v>
      </c>
      <c r="E252" s="4">
        <v>479</v>
      </c>
      <c r="F252" s="8">
        <v>5.78</v>
      </c>
      <c r="G252" s="4">
        <v>160</v>
      </c>
      <c r="H252" s="8">
        <v>2.95</v>
      </c>
      <c r="I252" s="4">
        <v>0</v>
      </c>
    </row>
    <row r="253" spans="1:9" x14ac:dyDescent="0.15">
      <c r="A253" s="2">
        <v>7</v>
      </c>
      <c r="B253" s="1" t="s">
        <v>92</v>
      </c>
      <c r="C253" s="4">
        <v>585</v>
      </c>
      <c r="D253" s="8">
        <v>4.26</v>
      </c>
      <c r="E253" s="4">
        <v>467</v>
      </c>
      <c r="F253" s="8">
        <v>5.64</v>
      </c>
      <c r="G253" s="4">
        <v>114</v>
      </c>
      <c r="H253" s="8">
        <v>2.1</v>
      </c>
      <c r="I253" s="4">
        <v>4</v>
      </c>
    </row>
    <row r="254" spans="1:9" x14ac:dyDescent="0.15">
      <c r="A254" s="2">
        <v>8</v>
      </c>
      <c r="B254" s="1" t="s">
        <v>81</v>
      </c>
      <c r="C254" s="4">
        <v>483</v>
      </c>
      <c r="D254" s="8">
        <v>3.52</v>
      </c>
      <c r="E254" s="4">
        <v>264</v>
      </c>
      <c r="F254" s="8">
        <v>3.19</v>
      </c>
      <c r="G254" s="4">
        <v>219</v>
      </c>
      <c r="H254" s="8">
        <v>4.03</v>
      </c>
      <c r="I254" s="4">
        <v>0</v>
      </c>
    </row>
    <row r="255" spans="1:9" x14ac:dyDescent="0.15">
      <c r="A255" s="2">
        <v>9</v>
      </c>
      <c r="B255" s="1" t="s">
        <v>76</v>
      </c>
      <c r="C255" s="4">
        <v>469</v>
      </c>
      <c r="D255" s="8">
        <v>3.41</v>
      </c>
      <c r="E255" s="4">
        <v>149</v>
      </c>
      <c r="F255" s="8">
        <v>1.8</v>
      </c>
      <c r="G255" s="4">
        <v>320</v>
      </c>
      <c r="H255" s="8">
        <v>5.89</v>
      </c>
      <c r="I255" s="4">
        <v>0</v>
      </c>
    </row>
    <row r="256" spans="1:9" x14ac:dyDescent="0.15">
      <c r="A256" s="2">
        <v>10</v>
      </c>
      <c r="B256" s="1" t="s">
        <v>83</v>
      </c>
      <c r="C256" s="4">
        <v>452</v>
      </c>
      <c r="D256" s="8">
        <v>3.29</v>
      </c>
      <c r="E256" s="4">
        <v>305</v>
      </c>
      <c r="F256" s="8">
        <v>3.68</v>
      </c>
      <c r="G256" s="4">
        <v>147</v>
      </c>
      <c r="H256" s="8">
        <v>2.71</v>
      </c>
      <c r="I256" s="4">
        <v>0</v>
      </c>
    </row>
    <row r="257" spans="1:9" x14ac:dyDescent="0.15">
      <c r="A257" s="2">
        <v>11</v>
      </c>
      <c r="B257" s="1" t="s">
        <v>75</v>
      </c>
      <c r="C257" s="4">
        <v>416</v>
      </c>
      <c r="D257" s="8">
        <v>3.03</v>
      </c>
      <c r="E257" s="4">
        <v>194</v>
      </c>
      <c r="F257" s="8">
        <v>2.34</v>
      </c>
      <c r="G257" s="4">
        <v>222</v>
      </c>
      <c r="H257" s="8">
        <v>4.09</v>
      </c>
      <c r="I257" s="4">
        <v>0</v>
      </c>
    </row>
    <row r="258" spans="1:9" x14ac:dyDescent="0.15">
      <c r="A258" s="2">
        <v>12</v>
      </c>
      <c r="B258" s="1" t="s">
        <v>93</v>
      </c>
      <c r="C258" s="4">
        <v>391</v>
      </c>
      <c r="D258" s="8">
        <v>2.85</v>
      </c>
      <c r="E258" s="4">
        <v>357</v>
      </c>
      <c r="F258" s="8">
        <v>4.3099999999999996</v>
      </c>
      <c r="G258" s="4">
        <v>33</v>
      </c>
      <c r="H258" s="8">
        <v>0.61</v>
      </c>
      <c r="I258" s="4">
        <v>1</v>
      </c>
    </row>
    <row r="259" spans="1:9" x14ac:dyDescent="0.15">
      <c r="A259" s="2">
        <v>13</v>
      </c>
      <c r="B259" s="1" t="s">
        <v>87</v>
      </c>
      <c r="C259" s="4">
        <v>339</v>
      </c>
      <c r="D259" s="8">
        <v>2.4700000000000002</v>
      </c>
      <c r="E259" s="4">
        <v>276</v>
      </c>
      <c r="F259" s="8">
        <v>3.33</v>
      </c>
      <c r="G259" s="4">
        <v>63</v>
      </c>
      <c r="H259" s="8">
        <v>1.1599999999999999</v>
      </c>
      <c r="I259" s="4">
        <v>0</v>
      </c>
    </row>
    <row r="260" spans="1:9" x14ac:dyDescent="0.15">
      <c r="A260" s="2">
        <v>14</v>
      </c>
      <c r="B260" s="1" t="s">
        <v>88</v>
      </c>
      <c r="C260" s="4">
        <v>269</v>
      </c>
      <c r="D260" s="8">
        <v>1.96</v>
      </c>
      <c r="E260" s="4">
        <v>125</v>
      </c>
      <c r="F260" s="8">
        <v>1.51</v>
      </c>
      <c r="G260" s="4">
        <v>144</v>
      </c>
      <c r="H260" s="8">
        <v>2.65</v>
      </c>
      <c r="I260" s="4">
        <v>0</v>
      </c>
    </row>
    <row r="261" spans="1:9" x14ac:dyDescent="0.15">
      <c r="A261" s="2">
        <v>15</v>
      </c>
      <c r="B261" s="1" t="s">
        <v>78</v>
      </c>
      <c r="C261" s="4">
        <v>240</v>
      </c>
      <c r="D261" s="8">
        <v>1.75</v>
      </c>
      <c r="E261" s="4">
        <v>43</v>
      </c>
      <c r="F261" s="8">
        <v>0.52</v>
      </c>
      <c r="G261" s="4">
        <v>197</v>
      </c>
      <c r="H261" s="8">
        <v>3.63</v>
      </c>
      <c r="I261" s="4">
        <v>0</v>
      </c>
    </row>
    <row r="262" spans="1:9" x14ac:dyDescent="0.15">
      <c r="A262" s="2">
        <v>16</v>
      </c>
      <c r="B262" s="1" t="s">
        <v>85</v>
      </c>
      <c r="C262" s="4">
        <v>234</v>
      </c>
      <c r="D262" s="8">
        <v>1.7</v>
      </c>
      <c r="E262" s="4">
        <v>50</v>
      </c>
      <c r="F262" s="8">
        <v>0.6</v>
      </c>
      <c r="G262" s="4">
        <v>184</v>
      </c>
      <c r="H262" s="8">
        <v>3.39</v>
      </c>
      <c r="I262" s="4">
        <v>0</v>
      </c>
    </row>
    <row r="263" spans="1:9" x14ac:dyDescent="0.15">
      <c r="A263" s="2">
        <v>17</v>
      </c>
      <c r="B263" s="1" t="s">
        <v>106</v>
      </c>
      <c r="C263" s="4">
        <v>208</v>
      </c>
      <c r="D263" s="8">
        <v>1.51</v>
      </c>
      <c r="E263" s="4">
        <v>169</v>
      </c>
      <c r="F263" s="8">
        <v>2.04</v>
      </c>
      <c r="G263" s="4">
        <v>39</v>
      </c>
      <c r="H263" s="8">
        <v>0.72</v>
      </c>
      <c r="I263" s="4">
        <v>0</v>
      </c>
    </row>
    <row r="264" spans="1:9" x14ac:dyDescent="0.15">
      <c r="A264" s="2">
        <v>18</v>
      </c>
      <c r="B264" s="1" t="s">
        <v>79</v>
      </c>
      <c r="C264" s="4">
        <v>198</v>
      </c>
      <c r="D264" s="8">
        <v>1.44</v>
      </c>
      <c r="E264" s="4">
        <v>31</v>
      </c>
      <c r="F264" s="8">
        <v>0.37</v>
      </c>
      <c r="G264" s="4">
        <v>167</v>
      </c>
      <c r="H264" s="8">
        <v>3.08</v>
      </c>
      <c r="I264" s="4">
        <v>0</v>
      </c>
    </row>
    <row r="265" spans="1:9" x14ac:dyDescent="0.15">
      <c r="A265" s="2">
        <v>19</v>
      </c>
      <c r="B265" s="1" t="s">
        <v>77</v>
      </c>
      <c r="C265" s="4">
        <v>183</v>
      </c>
      <c r="D265" s="8">
        <v>1.33</v>
      </c>
      <c r="E265" s="4">
        <v>83</v>
      </c>
      <c r="F265" s="8">
        <v>1</v>
      </c>
      <c r="G265" s="4">
        <v>100</v>
      </c>
      <c r="H265" s="8">
        <v>1.84</v>
      </c>
      <c r="I265" s="4">
        <v>0</v>
      </c>
    </row>
    <row r="266" spans="1:9" x14ac:dyDescent="0.15">
      <c r="A266" s="2">
        <v>20</v>
      </c>
      <c r="B266" s="1" t="s">
        <v>96</v>
      </c>
      <c r="C266" s="4">
        <v>179</v>
      </c>
      <c r="D266" s="8">
        <v>1.3</v>
      </c>
      <c r="E266" s="4">
        <v>62</v>
      </c>
      <c r="F266" s="8">
        <v>0.75</v>
      </c>
      <c r="G266" s="4">
        <v>117</v>
      </c>
      <c r="H266" s="8">
        <v>2.15</v>
      </c>
      <c r="I266" s="4">
        <v>0</v>
      </c>
    </row>
    <row r="267" spans="1:9" x14ac:dyDescent="0.15">
      <c r="A267" s="1"/>
      <c r="C267" s="4"/>
      <c r="D267" s="8"/>
      <c r="E267" s="4"/>
      <c r="F267" s="8"/>
      <c r="G267" s="4"/>
      <c r="H267" s="8"/>
      <c r="I267" s="4"/>
    </row>
    <row r="268" spans="1:9" x14ac:dyDescent="0.15">
      <c r="A268" s="1" t="s">
        <v>12</v>
      </c>
      <c r="C268" s="4"/>
      <c r="D268" s="8"/>
      <c r="E268" s="4"/>
      <c r="F268" s="8"/>
      <c r="G268" s="4"/>
      <c r="H268" s="8"/>
      <c r="I268" s="4"/>
    </row>
    <row r="269" spans="1:9" x14ac:dyDescent="0.15">
      <c r="A269" s="2">
        <v>1</v>
      </c>
      <c r="B269" s="1" t="s">
        <v>89</v>
      </c>
      <c r="C269" s="4">
        <v>1694</v>
      </c>
      <c r="D269" s="8">
        <v>16.88</v>
      </c>
      <c r="E269" s="4">
        <v>1597</v>
      </c>
      <c r="F269" s="8">
        <v>27.16</v>
      </c>
      <c r="G269" s="4">
        <v>96</v>
      </c>
      <c r="H269" s="8">
        <v>2.31</v>
      </c>
      <c r="I269" s="4">
        <v>1</v>
      </c>
    </row>
    <row r="270" spans="1:9" x14ac:dyDescent="0.15">
      <c r="A270" s="2">
        <v>2</v>
      </c>
      <c r="B270" s="1" t="s">
        <v>90</v>
      </c>
      <c r="C270" s="4">
        <v>1035</v>
      </c>
      <c r="D270" s="8">
        <v>10.31</v>
      </c>
      <c r="E270" s="4">
        <v>882</v>
      </c>
      <c r="F270" s="8">
        <v>15</v>
      </c>
      <c r="G270" s="4">
        <v>153</v>
      </c>
      <c r="H270" s="8">
        <v>3.69</v>
      </c>
      <c r="I270" s="4">
        <v>0</v>
      </c>
    </row>
    <row r="271" spans="1:9" x14ac:dyDescent="0.15">
      <c r="A271" s="2">
        <v>3</v>
      </c>
      <c r="B271" s="1" t="s">
        <v>86</v>
      </c>
      <c r="C271" s="4">
        <v>738</v>
      </c>
      <c r="D271" s="8">
        <v>7.35</v>
      </c>
      <c r="E271" s="4">
        <v>274</v>
      </c>
      <c r="F271" s="8">
        <v>4.66</v>
      </c>
      <c r="G271" s="4">
        <v>464</v>
      </c>
      <c r="H271" s="8">
        <v>11.19</v>
      </c>
      <c r="I271" s="4">
        <v>0</v>
      </c>
    </row>
    <row r="272" spans="1:9" x14ac:dyDescent="0.15">
      <c r="A272" s="2">
        <v>4</v>
      </c>
      <c r="B272" s="1" t="s">
        <v>84</v>
      </c>
      <c r="C272" s="4">
        <v>638</v>
      </c>
      <c r="D272" s="8">
        <v>6.36</v>
      </c>
      <c r="E272" s="4">
        <v>424</v>
      </c>
      <c r="F272" s="8">
        <v>7.21</v>
      </c>
      <c r="G272" s="4">
        <v>214</v>
      </c>
      <c r="H272" s="8">
        <v>5.16</v>
      </c>
      <c r="I272" s="4">
        <v>0</v>
      </c>
    </row>
    <row r="273" spans="1:9" x14ac:dyDescent="0.15">
      <c r="A273" s="2">
        <v>5</v>
      </c>
      <c r="B273" s="1" t="s">
        <v>82</v>
      </c>
      <c r="C273" s="4">
        <v>522</v>
      </c>
      <c r="D273" s="8">
        <v>5.2</v>
      </c>
      <c r="E273" s="4">
        <v>386</v>
      </c>
      <c r="F273" s="8">
        <v>6.56</v>
      </c>
      <c r="G273" s="4">
        <v>136</v>
      </c>
      <c r="H273" s="8">
        <v>3.28</v>
      </c>
      <c r="I273" s="4">
        <v>0</v>
      </c>
    </row>
    <row r="274" spans="1:9" x14ac:dyDescent="0.15">
      <c r="A274" s="2">
        <v>6</v>
      </c>
      <c r="B274" s="1" t="s">
        <v>93</v>
      </c>
      <c r="C274" s="4">
        <v>387</v>
      </c>
      <c r="D274" s="8">
        <v>3.86</v>
      </c>
      <c r="E274" s="4">
        <v>351</v>
      </c>
      <c r="F274" s="8">
        <v>5.97</v>
      </c>
      <c r="G274" s="4">
        <v>36</v>
      </c>
      <c r="H274" s="8">
        <v>0.87</v>
      </c>
      <c r="I274" s="4">
        <v>0</v>
      </c>
    </row>
    <row r="275" spans="1:9" x14ac:dyDescent="0.15">
      <c r="A275" s="2">
        <v>7</v>
      </c>
      <c r="B275" s="1" t="s">
        <v>74</v>
      </c>
      <c r="C275" s="4">
        <v>375</v>
      </c>
      <c r="D275" s="8">
        <v>3.74</v>
      </c>
      <c r="E275" s="4">
        <v>74</v>
      </c>
      <c r="F275" s="8">
        <v>1.26</v>
      </c>
      <c r="G275" s="4">
        <v>301</v>
      </c>
      <c r="H275" s="8">
        <v>7.26</v>
      </c>
      <c r="I275" s="4">
        <v>0</v>
      </c>
    </row>
    <row r="276" spans="1:9" x14ac:dyDescent="0.15">
      <c r="A276" s="2">
        <v>8</v>
      </c>
      <c r="B276" s="1" t="s">
        <v>76</v>
      </c>
      <c r="C276" s="4">
        <v>367</v>
      </c>
      <c r="D276" s="8">
        <v>3.66</v>
      </c>
      <c r="E276" s="4">
        <v>57</v>
      </c>
      <c r="F276" s="8">
        <v>0.97</v>
      </c>
      <c r="G276" s="4">
        <v>310</v>
      </c>
      <c r="H276" s="8">
        <v>7.47</v>
      </c>
      <c r="I276" s="4">
        <v>0</v>
      </c>
    </row>
    <row r="277" spans="1:9" x14ac:dyDescent="0.15">
      <c r="A277" s="2">
        <v>9</v>
      </c>
      <c r="B277" s="1" t="s">
        <v>81</v>
      </c>
      <c r="C277" s="4">
        <v>344</v>
      </c>
      <c r="D277" s="8">
        <v>3.43</v>
      </c>
      <c r="E277" s="4">
        <v>203</v>
      </c>
      <c r="F277" s="8">
        <v>3.45</v>
      </c>
      <c r="G277" s="4">
        <v>141</v>
      </c>
      <c r="H277" s="8">
        <v>3.4</v>
      </c>
      <c r="I277" s="4">
        <v>0</v>
      </c>
    </row>
    <row r="278" spans="1:9" x14ac:dyDescent="0.15">
      <c r="A278" s="2">
        <v>10</v>
      </c>
      <c r="B278" s="1" t="s">
        <v>75</v>
      </c>
      <c r="C278" s="4">
        <v>331</v>
      </c>
      <c r="D278" s="8">
        <v>3.3</v>
      </c>
      <c r="E278" s="4">
        <v>93</v>
      </c>
      <c r="F278" s="8">
        <v>1.58</v>
      </c>
      <c r="G278" s="4">
        <v>238</v>
      </c>
      <c r="H278" s="8">
        <v>5.74</v>
      </c>
      <c r="I278" s="4">
        <v>0</v>
      </c>
    </row>
    <row r="279" spans="1:9" x14ac:dyDescent="0.15">
      <c r="A279" s="2">
        <v>11</v>
      </c>
      <c r="B279" s="1" t="s">
        <v>92</v>
      </c>
      <c r="C279" s="4">
        <v>326</v>
      </c>
      <c r="D279" s="8">
        <v>3.25</v>
      </c>
      <c r="E279" s="4">
        <v>251</v>
      </c>
      <c r="F279" s="8">
        <v>4.2699999999999996</v>
      </c>
      <c r="G279" s="4">
        <v>73</v>
      </c>
      <c r="H279" s="8">
        <v>1.76</v>
      </c>
      <c r="I279" s="4">
        <v>2</v>
      </c>
    </row>
    <row r="280" spans="1:9" x14ac:dyDescent="0.15">
      <c r="A280" s="2">
        <v>12</v>
      </c>
      <c r="B280" s="1" t="s">
        <v>83</v>
      </c>
      <c r="C280" s="4">
        <v>295</v>
      </c>
      <c r="D280" s="8">
        <v>2.94</v>
      </c>
      <c r="E280" s="4">
        <v>192</v>
      </c>
      <c r="F280" s="8">
        <v>3.27</v>
      </c>
      <c r="G280" s="4">
        <v>103</v>
      </c>
      <c r="H280" s="8">
        <v>2.48</v>
      </c>
      <c r="I280" s="4">
        <v>0</v>
      </c>
    </row>
    <row r="281" spans="1:9" x14ac:dyDescent="0.15">
      <c r="A281" s="2">
        <v>13</v>
      </c>
      <c r="B281" s="1" t="s">
        <v>77</v>
      </c>
      <c r="C281" s="4">
        <v>233</v>
      </c>
      <c r="D281" s="8">
        <v>2.3199999999999998</v>
      </c>
      <c r="E281" s="4">
        <v>99</v>
      </c>
      <c r="F281" s="8">
        <v>1.68</v>
      </c>
      <c r="G281" s="4">
        <v>134</v>
      </c>
      <c r="H281" s="8">
        <v>3.23</v>
      </c>
      <c r="I281" s="4">
        <v>0</v>
      </c>
    </row>
    <row r="282" spans="1:9" x14ac:dyDescent="0.15">
      <c r="A282" s="2">
        <v>14</v>
      </c>
      <c r="B282" s="1" t="s">
        <v>85</v>
      </c>
      <c r="C282" s="4">
        <v>216</v>
      </c>
      <c r="D282" s="8">
        <v>2.15</v>
      </c>
      <c r="E282" s="4">
        <v>49</v>
      </c>
      <c r="F282" s="8">
        <v>0.83</v>
      </c>
      <c r="G282" s="4">
        <v>167</v>
      </c>
      <c r="H282" s="8">
        <v>4.03</v>
      </c>
      <c r="I282" s="4">
        <v>0</v>
      </c>
    </row>
    <row r="283" spans="1:9" x14ac:dyDescent="0.15">
      <c r="A283" s="2">
        <v>15</v>
      </c>
      <c r="B283" s="1" t="s">
        <v>87</v>
      </c>
      <c r="C283" s="4">
        <v>213</v>
      </c>
      <c r="D283" s="8">
        <v>2.12</v>
      </c>
      <c r="E283" s="4">
        <v>167</v>
      </c>
      <c r="F283" s="8">
        <v>2.84</v>
      </c>
      <c r="G283" s="4">
        <v>46</v>
      </c>
      <c r="H283" s="8">
        <v>1.1100000000000001</v>
      </c>
      <c r="I283" s="4">
        <v>0</v>
      </c>
    </row>
    <row r="284" spans="1:9" x14ac:dyDescent="0.15">
      <c r="A284" s="2">
        <v>16</v>
      </c>
      <c r="B284" s="1" t="s">
        <v>101</v>
      </c>
      <c r="C284" s="4">
        <v>204</v>
      </c>
      <c r="D284" s="8">
        <v>2.0299999999999998</v>
      </c>
      <c r="E284" s="4">
        <v>78</v>
      </c>
      <c r="F284" s="8">
        <v>1.33</v>
      </c>
      <c r="G284" s="4">
        <v>126</v>
      </c>
      <c r="H284" s="8">
        <v>3.04</v>
      </c>
      <c r="I284" s="4">
        <v>0</v>
      </c>
    </row>
    <row r="285" spans="1:9" x14ac:dyDescent="0.15">
      <c r="A285" s="2">
        <v>17</v>
      </c>
      <c r="B285" s="1" t="s">
        <v>78</v>
      </c>
      <c r="C285" s="4">
        <v>150</v>
      </c>
      <c r="D285" s="8">
        <v>1.49</v>
      </c>
      <c r="E285" s="4">
        <v>32</v>
      </c>
      <c r="F285" s="8">
        <v>0.54</v>
      </c>
      <c r="G285" s="4">
        <v>118</v>
      </c>
      <c r="H285" s="8">
        <v>2.84</v>
      </c>
      <c r="I285" s="4">
        <v>0</v>
      </c>
    </row>
    <row r="286" spans="1:9" x14ac:dyDescent="0.15">
      <c r="A286" s="2">
        <v>18</v>
      </c>
      <c r="B286" s="1" t="s">
        <v>79</v>
      </c>
      <c r="C286" s="4">
        <v>130</v>
      </c>
      <c r="D286" s="8">
        <v>1.3</v>
      </c>
      <c r="E286" s="4">
        <v>21</v>
      </c>
      <c r="F286" s="8">
        <v>0.36</v>
      </c>
      <c r="G286" s="4">
        <v>109</v>
      </c>
      <c r="H286" s="8">
        <v>2.63</v>
      </c>
      <c r="I286" s="4">
        <v>0</v>
      </c>
    </row>
    <row r="287" spans="1:9" x14ac:dyDescent="0.15">
      <c r="A287" s="2">
        <v>19</v>
      </c>
      <c r="B287" s="1" t="s">
        <v>91</v>
      </c>
      <c r="C287" s="4">
        <v>116</v>
      </c>
      <c r="D287" s="8">
        <v>1.1599999999999999</v>
      </c>
      <c r="E287" s="4">
        <v>65</v>
      </c>
      <c r="F287" s="8">
        <v>1.1100000000000001</v>
      </c>
      <c r="G287" s="4">
        <v>51</v>
      </c>
      <c r="H287" s="8">
        <v>1.23</v>
      </c>
      <c r="I287" s="4">
        <v>0</v>
      </c>
    </row>
    <row r="288" spans="1:9" x14ac:dyDescent="0.15">
      <c r="A288" s="2">
        <v>20</v>
      </c>
      <c r="B288" s="1" t="s">
        <v>80</v>
      </c>
      <c r="C288" s="4">
        <v>107</v>
      </c>
      <c r="D288" s="8">
        <v>1.07</v>
      </c>
      <c r="E288" s="4">
        <v>23</v>
      </c>
      <c r="F288" s="8">
        <v>0.39</v>
      </c>
      <c r="G288" s="4">
        <v>84</v>
      </c>
      <c r="H288" s="8">
        <v>2.0299999999999998</v>
      </c>
      <c r="I288" s="4">
        <v>0</v>
      </c>
    </row>
    <row r="289" spans="1:9" x14ac:dyDescent="0.15">
      <c r="A289" s="1"/>
      <c r="C289" s="4"/>
      <c r="D289" s="8"/>
      <c r="E289" s="4"/>
      <c r="F289" s="8"/>
      <c r="G289" s="4"/>
      <c r="H289" s="8"/>
      <c r="I289" s="4"/>
    </row>
    <row r="290" spans="1:9" x14ac:dyDescent="0.15">
      <c r="A290" s="1" t="s">
        <v>13</v>
      </c>
      <c r="C290" s="4"/>
      <c r="D290" s="8"/>
      <c r="E290" s="4"/>
      <c r="F290" s="8"/>
      <c r="G290" s="4"/>
      <c r="H290" s="8"/>
      <c r="I290" s="4"/>
    </row>
    <row r="291" spans="1:9" x14ac:dyDescent="0.15">
      <c r="A291" s="2">
        <v>1</v>
      </c>
      <c r="B291" s="1" t="s">
        <v>89</v>
      </c>
      <c r="C291" s="4">
        <v>740</v>
      </c>
      <c r="D291" s="8">
        <v>15.11</v>
      </c>
      <c r="E291" s="4">
        <v>687</v>
      </c>
      <c r="F291" s="8">
        <v>23.48</v>
      </c>
      <c r="G291" s="4">
        <v>53</v>
      </c>
      <c r="H291" s="8">
        <v>2.7</v>
      </c>
      <c r="I291" s="4">
        <v>0</v>
      </c>
    </row>
    <row r="292" spans="1:9" x14ac:dyDescent="0.15">
      <c r="A292" s="2">
        <v>2</v>
      </c>
      <c r="B292" s="1" t="s">
        <v>90</v>
      </c>
      <c r="C292" s="4">
        <v>606</v>
      </c>
      <c r="D292" s="8">
        <v>12.37</v>
      </c>
      <c r="E292" s="4">
        <v>507</v>
      </c>
      <c r="F292" s="8">
        <v>17.329999999999998</v>
      </c>
      <c r="G292" s="4">
        <v>99</v>
      </c>
      <c r="H292" s="8">
        <v>5.04</v>
      </c>
      <c r="I292" s="4">
        <v>0</v>
      </c>
    </row>
    <row r="293" spans="1:9" x14ac:dyDescent="0.15">
      <c r="A293" s="2">
        <v>3</v>
      </c>
      <c r="B293" s="1" t="s">
        <v>84</v>
      </c>
      <c r="C293" s="4">
        <v>390</v>
      </c>
      <c r="D293" s="8">
        <v>7.96</v>
      </c>
      <c r="E293" s="4">
        <v>239</v>
      </c>
      <c r="F293" s="8">
        <v>8.17</v>
      </c>
      <c r="G293" s="4">
        <v>151</v>
      </c>
      <c r="H293" s="8">
        <v>7.69</v>
      </c>
      <c r="I293" s="4">
        <v>0</v>
      </c>
    </row>
    <row r="294" spans="1:9" x14ac:dyDescent="0.15">
      <c r="A294" s="2">
        <v>4</v>
      </c>
      <c r="B294" s="1" t="s">
        <v>82</v>
      </c>
      <c r="C294" s="4">
        <v>288</v>
      </c>
      <c r="D294" s="8">
        <v>5.88</v>
      </c>
      <c r="E294" s="4">
        <v>208</v>
      </c>
      <c r="F294" s="8">
        <v>7.11</v>
      </c>
      <c r="G294" s="4">
        <v>80</v>
      </c>
      <c r="H294" s="8">
        <v>4.07</v>
      </c>
      <c r="I294" s="4">
        <v>0</v>
      </c>
    </row>
    <row r="295" spans="1:9" x14ac:dyDescent="0.15">
      <c r="A295" s="2">
        <v>5</v>
      </c>
      <c r="B295" s="1" t="s">
        <v>86</v>
      </c>
      <c r="C295" s="4">
        <v>271</v>
      </c>
      <c r="D295" s="8">
        <v>5.53</v>
      </c>
      <c r="E295" s="4">
        <v>90</v>
      </c>
      <c r="F295" s="8">
        <v>3.08</v>
      </c>
      <c r="G295" s="4">
        <v>181</v>
      </c>
      <c r="H295" s="8">
        <v>9.2200000000000006</v>
      </c>
      <c r="I295" s="4">
        <v>0</v>
      </c>
    </row>
    <row r="296" spans="1:9" x14ac:dyDescent="0.15">
      <c r="A296" s="2">
        <v>6</v>
      </c>
      <c r="B296" s="1" t="s">
        <v>92</v>
      </c>
      <c r="C296" s="4">
        <v>242</v>
      </c>
      <c r="D296" s="8">
        <v>4.9400000000000004</v>
      </c>
      <c r="E296" s="4">
        <v>196</v>
      </c>
      <c r="F296" s="8">
        <v>6.7</v>
      </c>
      <c r="G296" s="4">
        <v>45</v>
      </c>
      <c r="H296" s="8">
        <v>2.29</v>
      </c>
      <c r="I296" s="4">
        <v>1</v>
      </c>
    </row>
    <row r="297" spans="1:9" x14ac:dyDescent="0.15">
      <c r="A297" s="2">
        <v>7</v>
      </c>
      <c r="B297" s="1" t="s">
        <v>74</v>
      </c>
      <c r="C297" s="4">
        <v>216</v>
      </c>
      <c r="D297" s="8">
        <v>4.41</v>
      </c>
      <c r="E297" s="4">
        <v>53</v>
      </c>
      <c r="F297" s="8">
        <v>1.81</v>
      </c>
      <c r="G297" s="4">
        <v>163</v>
      </c>
      <c r="H297" s="8">
        <v>8.3000000000000007</v>
      </c>
      <c r="I297" s="4">
        <v>0</v>
      </c>
    </row>
    <row r="298" spans="1:9" x14ac:dyDescent="0.15">
      <c r="A298" s="2">
        <v>8</v>
      </c>
      <c r="B298" s="1" t="s">
        <v>93</v>
      </c>
      <c r="C298" s="4">
        <v>200</v>
      </c>
      <c r="D298" s="8">
        <v>4.08</v>
      </c>
      <c r="E298" s="4">
        <v>179</v>
      </c>
      <c r="F298" s="8">
        <v>6.12</v>
      </c>
      <c r="G298" s="4">
        <v>21</v>
      </c>
      <c r="H298" s="8">
        <v>1.07</v>
      </c>
      <c r="I298" s="4">
        <v>0</v>
      </c>
    </row>
    <row r="299" spans="1:9" x14ac:dyDescent="0.15">
      <c r="A299" s="2">
        <v>9</v>
      </c>
      <c r="B299" s="1" t="s">
        <v>81</v>
      </c>
      <c r="C299" s="4">
        <v>167</v>
      </c>
      <c r="D299" s="8">
        <v>3.41</v>
      </c>
      <c r="E299" s="4">
        <v>79</v>
      </c>
      <c r="F299" s="8">
        <v>2.7</v>
      </c>
      <c r="G299" s="4">
        <v>88</v>
      </c>
      <c r="H299" s="8">
        <v>4.4800000000000004</v>
      </c>
      <c r="I299" s="4">
        <v>0</v>
      </c>
    </row>
    <row r="300" spans="1:9" x14ac:dyDescent="0.15">
      <c r="A300" s="2">
        <v>10</v>
      </c>
      <c r="B300" s="1" t="s">
        <v>83</v>
      </c>
      <c r="C300" s="4">
        <v>155</v>
      </c>
      <c r="D300" s="8">
        <v>3.16</v>
      </c>
      <c r="E300" s="4">
        <v>98</v>
      </c>
      <c r="F300" s="8">
        <v>3.35</v>
      </c>
      <c r="G300" s="4">
        <v>57</v>
      </c>
      <c r="H300" s="8">
        <v>2.9</v>
      </c>
      <c r="I300" s="4">
        <v>0</v>
      </c>
    </row>
    <row r="301" spans="1:9" x14ac:dyDescent="0.15">
      <c r="A301" s="2">
        <v>11</v>
      </c>
      <c r="B301" s="1" t="s">
        <v>87</v>
      </c>
      <c r="C301" s="4">
        <v>135</v>
      </c>
      <c r="D301" s="8">
        <v>2.76</v>
      </c>
      <c r="E301" s="4">
        <v>106</v>
      </c>
      <c r="F301" s="8">
        <v>3.62</v>
      </c>
      <c r="G301" s="4">
        <v>29</v>
      </c>
      <c r="H301" s="8">
        <v>1.48</v>
      </c>
      <c r="I301" s="4">
        <v>0</v>
      </c>
    </row>
    <row r="302" spans="1:9" x14ac:dyDescent="0.15">
      <c r="A302" s="2">
        <v>12</v>
      </c>
      <c r="B302" s="1" t="s">
        <v>75</v>
      </c>
      <c r="C302" s="4">
        <v>111</v>
      </c>
      <c r="D302" s="8">
        <v>2.27</v>
      </c>
      <c r="E302" s="4">
        <v>47</v>
      </c>
      <c r="F302" s="8">
        <v>1.61</v>
      </c>
      <c r="G302" s="4">
        <v>64</v>
      </c>
      <c r="H302" s="8">
        <v>3.26</v>
      </c>
      <c r="I302" s="4">
        <v>0</v>
      </c>
    </row>
    <row r="303" spans="1:9" x14ac:dyDescent="0.15">
      <c r="A303" s="2">
        <v>13</v>
      </c>
      <c r="B303" s="1" t="s">
        <v>85</v>
      </c>
      <c r="C303" s="4">
        <v>106</v>
      </c>
      <c r="D303" s="8">
        <v>2.16</v>
      </c>
      <c r="E303" s="4">
        <v>22</v>
      </c>
      <c r="F303" s="8">
        <v>0.75</v>
      </c>
      <c r="G303" s="4">
        <v>84</v>
      </c>
      <c r="H303" s="8">
        <v>4.28</v>
      </c>
      <c r="I303" s="4">
        <v>0</v>
      </c>
    </row>
    <row r="304" spans="1:9" x14ac:dyDescent="0.15">
      <c r="A304" s="2">
        <v>14</v>
      </c>
      <c r="B304" s="1" t="s">
        <v>76</v>
      </c>
      <c r="C304" s="4">
        <v>99</v>
      </c>
      <c r="D304" s="8">
        <v>2.02</v>
      </c>
      <c r="E304" s="4">
        <v>27</v>
      </c>
      <c r="F304" s="8">
        <v>0.92</v>
      </c>
      <c r="G304" s="4">
        <v>72</v>
      </c>
      <c r="H304" s="8">
        <v>3.67</v>
      </c>
      <c r="I304" s="4">
        <v>0</v>
      </c>
    </row>
    <row r="305" spans="1:9" x14ac:dyDescent="0.15">
      <c r="A305" s="2">
        <v>15</v>
      </c>
      <c r="B305" s="1" t="s">
        <v>88</v>
      </c>
      <c r="C305" s="4">
        <v>81</v>
      </c>
      <c r="D305" s="8">
        <v>1.65</v>
      </c>
      <c r="E305" s="4">
        <v>36</v>
      </c>
      <c r="F305" s="8">
        <v>1.23</v>
      </c>
      <c r="G305" s="4">
        <v>45</v>
      </c>
      <c r="H305" s="8">
        <v>2.29</v>
      </c>
      <c r="I305" s="4">
        <v>0</v>
      </c>
    </row>
    <row r="306" spans="1:9" x14ac:dyDescent="0.15">
      <c r="A306" s="2">
        <v>16</v>
      </c>
      <c r="B306" s="1" t="s">
        <v>79</v>
      </c>
      <c r="C306" s="4">
        <v>69</v>
      </c>
      <c r="D306" s="8">
        <v>1.41</v>
      </c>
      <c r="E306" s="4">
        <v>9</v>
      </c>
      <c r="F306" s="8">
        <v>0.31</v>
      </c>
      <c r="G306" s="4">
        <v>60</v>
      </c>
      <c r="H306" s="8">
        <v>3.05</v>
      </c>
      <c r="I306" s="4">
        <v>0</v>
      </c>
    </row>
    <row r="307" spans="1:9" x14ac:dyDescent="0.15">
      <c r="A307" s="2">
        <v>17</v>
      </c>
      <c r="B307" s="1" t="s">
        <v>78</v>
      </c>
      <c r="C307" s="4">
        <v>68</v>
      </c>
      <c r="D307" s="8">
        <v>1.39</v>
      </c>
      <c r="E307" s="4">
        <v>14</v>
      </c>
      <c r="F307" s="8">
        <v>0.48</v>
      </c>
      <c r="G307" s="4">
        <v>54</v>
      </c>
      <c r="H307" s="8">
        <v>2.75</v>
      </c>
      <c r="I307" s="4">
        <v>0</v>
      </c>
    </row>
    <row r="308" spans="1:9" x14ac:dyDescent="0.15">
      <c r="A308" s="2">
        <v>18</v>
      </c>
      <c r="B308" s="1" t="s">
        <v>91</v>
      </c>
      <c r="C308" s="4">
        <v>66</v>
      </c>
      <c r="D308" s="8">
        <v>1.35</v>
      </c>
      <c r="E308" s="4">
        <v>33</v>
      </c>
      <c r="F308" s="8">
        <v>1.1299999999999999</v>
      </c>
      <c r="G308" s="4">
        <v>33</v>
      </c>
      <c r="H308" s="8">
        <v>1.68</v>
      </c>
      <c r="I308" s="4">
        <v>0</v>
      </c>
    </row>
    <row r="309" spans="1:9" x14ac:dyDescent="0.15">
      <c r="A309" s="2">
        <v>18</v>
      </c>
      <c r="B309" s="1" t="s">
        <v>94</v>
      </c>
      <c r="C309" s="4">
        <v>66</v>
      </c>
      <c r="D309" s="8">
        <v>1.35</v>
      </c>
      <c r="E309" s="4">
        <v>4</v>
      </c>
      <c r="F309" s="8">
        <v>0.14000000000000001</v>
      </c>
      <c r="G309" s="4">
        <v>60</v>
      </c>
      <c r="H309" s="8">
        <v>3.05</v>
      </c>
      <c r="I309" s="4">
        <v>2</v>
      </c>
    </row>
    <row r="310" spans="1:9" x14ac:dyDescent="0.15">
      <c r="A310" s="2">
        <v>20</v>
      </c>
      <c r="B310" s="1" t="s">
        <v>80</v>
      </c>
      <c r="C310" s="4">
        <v>54</v>
      </c>
      <c r="D310" s="8">
        <v>1.1000000000000001</v>
      </c>
      <c r="E310" s="4">
        <v>10</v>
      </c>
      <c r="F310" s="8">
        <v>0.34</v>
      </c>
      <c r="G310" s="4">
        <v>44</v>
      </c>
      <c r="H310" s="8">
        <v>2.2400000000000002</v>
      </c>
      <c r="I310" s="4">
        <v>0</v>
      </c>
    </row>
    <row r="311" spans="1:9" x14ac:dyDescent="0.15">
      <c r="A311" s="1"/>
      <c r="C311" s="4"/>
      <c r="D311" s="8"/>
      <c r="E311" s="4"/>
      <c r="F311" s="8"/>
      <c r="G311" s="4"/>
      <c r="H311" s="8"/>
      <c r="I311" s="4"/>
    </row>
    <row r="312" spans="1:9" x14ac:dyDescent="0.15">
      <c r="A312" s="1" t="s">
        <v>14</v>
      </c>
      <c r="C312" s="4"/>
      <c r="D312" s="8"/>
      <c r="E312" s="4"/>
      <c r="F312" s="8"/>
      <c r="G312" s="4"/>
      <c r="H312" s="8"/>
      <c r="I312" s="4"/>
    </row>
    <row r="313" spans="1:9" x14ac:dyDescent="0.15">
      <c r="A313" s="2">
        <v>1</v>
      </c>
      <c r="B313" s="1" t="s">
        <v>89</v>
      </c>
      <c r="C313" s="4">
        <v>1091</v>
      </c>
      <c r="D313" s="8">
        <v>14.21</v>
      </c>
      <c r="E313" s="4">
        <v>993</v>
      </c>
      <c r="F313" s="8">
        <v>23.48</v>
      </c>
      <c r="G313" s="4">
        <v>98</v>
      </c>
      <c r="H313" s="8">
        <v>2.85</v>
      </c>
      <c r="I313" s="4">
        <v>0</v>
      </c>
    </row>
    <row r="314" spans="1:9" x14ac:dyDescent="0.15">
      <c r="A314" s="2">
        <v>2</v>
      </c>
      <c r="B314" s="1" t="s">
        <v>90</v>
      </c>
      <c r="C314" s="4">
        <v>888</v>
      </c>
      <c r="D314" s="8">
        <v>11.57</v>
      </c>
      <c r="E314" s="4">
        <v>711</v>
      </c>
      <c r="F314" s="8">
        <v>16.809999999999999</v>
      </c>
      <c r="G314" s="4">
        <v>177</v>
      </c>
      <c r="H314" s="8">
        <v>5.15</v>
      </c>
      <c r="I314" s="4">
        <v>0</v>
      </c>
    </row>
    <row r="315" spans="1:9" x14ac:dyDescent="0.15">
      <c r="A315" s="2">
        <v>3</v>
      </c>
      <c r="B315" s="1" t="s">
        <v>86</v>
      </c>
      <c r="C315" s="4">
        <v>834</v>
      </c>
      <c r="D315" s="8">
        <v>10.86</v>
      </c>
      <c r="E315" s="4">
        <v>360</v>
      </c>
      <c r="F315" s="8">
        <v>8.51</v>
      </c>
      <c r="G315" s="4">
        <v>470</v>
      </c>
      <c r="H315" s="8">
        <v>13.68</v>
      </c>
      <c r="I315" s="4">
        <v>4</v>
      </c>
    </row>
    <row r="316" spans="1:9" x14ac:dyDescent="0.15">
      <c r="A316" s="2">
        <v>4</v>
      </c>
      <c r="B316" s="1" t="s">
        <v>84</v>
      </c>
      <c r="C316" s="4">
        <v>580</v>
      </c>
      <c r="D316" s="8">
        <v>7.56</v>
      </c>
      <c r="E316" s="4">
        <v>344</v>
      </c>
      <c r="F316" s="8">
        <v>8.1300000000000008</v>
      </c>
      <c r="G316" s="4">
        <v>233</v>
      </c>
      <c r="H316" s="8">
        <v>6.78</v>
      </c>
      <c r="I316" s="4">
        <v>3</v>
      </c>
    </row>
    <row r="317" spans="1:9" x14ac:dyDescent="0.15">
      <c r="A317" s="2">
        <v>5</v>
      </c>
      <c r="B317" s="1" t="s">
        <v>93</v>
      </c>
      <c r="C317" s="4">
        <v>412</v>
      </c>
      <c r="D317" s="8">
        <v>5.37</v>
      </c>
      <c r="E317" s="4">
        <v>373</v>
      </c>
      <c r="F317" s="8">
        <v>8.82</v>
      </c>
      <c r="G317" s="4">
        <v>39</v>
      </c>
      <c r="H317" s="8">
        <v>1.1399999999999999</v>
      </c>
      <c r="I317" s="4">
        <v>0</v>
      </c>
    </row>
    <row r="318" spans="1:9" x14ac:dyDescent="0.15">
      <c r="A318" s="2">
        <v>6</v>
      </c>
      <c r="B318" s="1" t="s">
        <v>92</v>
      </c>
      <c r="C318" s="4">
        <v>375</v>
      </c>
      <c r="D318" s="8">
        <v>4.88</v>
      </c>
      <c r="E318" s="4">
        <v>243</v>
      </c>
      <c r="F318" s="8">
        <v>5.74</v>
      </c>
      <c r="G318" s="4">
        <v>131</v>
      </c>
      <c r="H318" s="8">
        <v>3.81</v>
      </c>
      <c r="I318" s="4">
        <v>1</v>
      </c>
    </row>
    <row r="319" spans="1:9" x14ac:dyDescent="0.15">
      <c r="A319" s="2">
        <v>7</v>
      </c>
      <c r="B319" s="1" t="s">
        <v>82</v>
      </c>
      <c r="C319" s="4">
        <v>338</v>
      </c>
      <c r="D319" s="8">
        <v>4.4000000000000004</v>
      </c>
      <c r="E319" s="4">
        <v>237</v>
      </c>
      <c r="F319" s="8">
        <v>5.6</v>
      </c>
      <c r="G319" s="4">
        <v>101</v>
      </c>
      <c r="H319" s="8">
        <v>2.94</v>
      </c>
      <c r="I319" s="4">
        <v>0</v>
      </c>
    </row>
    <row r="320" spans="1:9" x14ac:dyDescent="0.15">
      <c r="A320" s="2">
        <v>8</v>
      </c>
      <c r="B320" s="1" t="s">
        <v>81</v>
      </c>
      <c r="C320" s="4">
        <v>329</v>
      </c>
      <c r="D320" s="8">
        <v>4.29</v>
      </c>
      <c r="E320" s="4">
        <v>158</v>
      </c>
      <c r="F320" s="8">
        <v>3.74</v>
      </c>
      <c r="G320" s="4">
        <v>170</v>
      </c>
      <c r="H320" s="8">
        <v>4.95</v>
      </c>
      <c r="I320" s="4">
        <v>1</v>
      </c>
    </row>
    <row r="321" spans="1:9" x14ac:dyDescent="0.15">
      <c r="A321" s="2">
        <v>9</v>
      </c>
      <c r="B321" s="1" t="s">
        <v>74</v>
      </c>
      <c r="C321" s="4">
        <v>316</v>
      </c>
      <c r="D321" s="8">
        <v>4.12</v>
      </c>
      <c r="E321" s="4">
        <v>54</v>
      </c>
      <c r="F321" s="8">
        <v>1.28</v>
      </c>
      <c r="G321" s="4">
        <v>262</v>
      </c>
      <c r="H321" s="8">
        <v>7.63</v>
      </c>
      <c r="I321" s="4">
        <v>0</v>
      </c>
    </row>
    <row r="322" spans="1:9" x14ac:dyDescent="0.15">
      <c r="A322" s="2">
        <v>10</v>
      </c>
      <c r="B322" s="1" t="s">
        <v>85</v>
      </c>
      <c r="C322" s="4">
        <v>230</v>
      </c>
      <c r="D322" s="8">
        <v>3</v>
      </c>
      <c r="E322" s="4">
        <v>33</v>
      </c>
      <c r="F322" s="8">
        <v>0.78</v>
      </c>
      <c r="G322" s="4">
        <v>197</v>
      </c>
      <c r="H322" s="8">
        <v>5.74</v>
      </c>
      <c r="I322" s="4">
        <v>0</v>
      </c>
    </row>
    <row r="323" spans="1:9" x14ac:dyDescent="0.15">
      <c r="A323" s="2">
        <v>11</v>
      </c>
      <c r="B323" s="1" t="s">
        <v>87</v>
      </c>
      <c r="C323" s="4">
        <v>216</v>
      </c>
      <c r="D323" s="8">
        <v>2.81</v>
      </c>
      <c r="E323" s="4">
        <v>142</v>
      </c>
      <c r="F323" s="8">
        <v>3.36</v>
      </c>
      <c r="G323" s="4">
        <v>74</v>
      </c>
      <c r="H323" s="8">
        <v>2.15</v>
      </c>
      <c r="I323" s="4">
        <v>0</v>
      </c>
    </row>
    <row r="324" spans="1:9" x14ac:dyDescent="0.15">
      <c r="A324" s="2">
        <v>12</v>
      </c>
      <c r="B324" s="1" t="s">
        <v>83</v>
      </c>
      <c r="C324" s="4">
        <v>199</v>
      </c>
      <c r="D324" s="8">
        <v>2.59</v>
      </c>
      <c r="E324" s="4">
        <v>104</v>
      </c>
      <c r="F324" s="8">
        <v>2.46</v>
      </c>
      <c r="G324" s="4">
        <v>95</v>
      </c>
      <c r="H324" s="8">
        <v>2.77</v>
      </c>
      <c r="I324" s="4">
        <v>0</v>
      </c>
    </row>
    <row r="325" spans="1:9" x14ac:dyDescent="0.15">
      <c r="A325" s="2">
        <v>13</v>
      </c>
      <c r="B325" s="1" t="s">
        <v>75</v>
      </c>
      <c r="C325" s="4">
        <v>161</v>
      </c>
      <c r="D325" s="8">
        <v>2.1</v>
      </c>
      <c r="E325" s="4">
        <v>37</v>
      </c>
      <c r="F325" s="8">
        <v>0.87</v>
      </c>
      <c r="G325" s="4">
        <v>124</v>
      </c>
      <c r="H325" s="8">
        <v>3.61</v>
      </c>
      <c r="I325" s="4">
        <v>0</v>
      </c>
    </row>
    <row r="326" spans="1:9" x14ac:dyDescent="0.15">
      <c r="A326" s="2">
        <v>14</v>
      </c>
      <c r="B326" s="1" t="s">
        <v>76</v>
      </c>
      <c r="C326" s="4">
        <v>148</v>
      </c>
      <c r="D326" s="8">
        <v>1.93</v>
      </c>
      <c r="E326" s="4">
        <v>34</v>
      </c>
      <c r="F326" s="8">
        <v>0.8</v>
      </c>
      <c r="G326" s="4">
        <v>114</v>
      </c>
      <c r="H326" s="8">
        <v>3.32</v>
      </c>
      <c r="I326" s="4">
        <v>0</v>
      </c>
    </row>
    <row r="327" spans="1:9" x14ac:dyDescent="0.15">
      <c r="A327" s="2">
        <v>15</v>
      </c>
      <c r="B327" s="1" t="s">
        <v>88</v>
      </c>
      <c r="C327" s="4">
        <v>141</v>
      </c>
      <c r="D327" s="8">
        <v>1.84</v>
      </c>
      <c r="E327" s="4">
        <v>71</v>
      </c>
      <c r="F327" s="8">
        <v>1.68</v>
      </c>
      <c r="G327" s="4">
        <v>70</v>
      </c>
      <c r="H327" s="8">
        <v>2.04</v>
      </c>
      <c r="I327" s="4">
        <v>0</v>
      </c>
    </row>
    <row r="328" spans="1:9" x14ac:dyDescent="0.15">
      <c r="A328" s="2">
        <v>16</v>
      </c>
      <c r="B328" s="1" t="s">
        <v>91</v>
      </c>
      <c r="C328" s="4">
        <v>96</v>
      </c>
      <c r="D328" s="8">
        <v>1.25</v>
      </c>
      <c r="E328" s="4">
        <v>50</v>
      </c>
      <c r="F328" s="8">
        <v>1.18</v>
      </c>
      <c r="G328" s="4">
        <v>46</v>
      </c>
      <c r="H328" s="8">
        <v>1.34</v>
      </c>
      <c r="I328" s="4">
        <v>0</v>
      </c>
    </row>
    <row r="329" spans="1:9" x14ac:dyDescent="0.15">
      <c r="A329" s="2">
        <v>17</v>
      </c>
      <c r="B329" s="1" t="s">
        <v>80</v>
      </c>
      <c r="C329" s="4">
        <v>95</v>
      </c>
      <c r="D329" s="8">
        <v>1.24</v>
      </c>
      <c r="E329" s="4">
        <v>25</v>
      </c>
      <c r="F329" s="8">
        <v>0.59</v>
      </c>
      <c r="G329" s="4">
        <v>70</v>
      </c>
      <c r="H329" s="8">
        <v>2.04</v>
      </c>
      <c r="I329" s="4">
        <v>0</v>
      </c>
    </row>
    <row r="330" spans="1:9" x14ac:dyDescent="0.15">
      <c r="A330" s="2">
        <v>18</v>
      </c>
      <c r="B330" s="1" t="s">
        <v>78</v>
      </c>
      <c r="C330" s="4">
        <v>92</v>
      </c>
      <c r="D330" s="8">
        <v>1.2</v>
      </c>
      <c r="E330" s="4">
        <v>11</v>
      </c>
      <c r="F330" s="8">
        <v>0.26</v>
      </c>
      <c r="G330" s="4">
        <v>81</v>
      </c>
      <c r="H330" s="8">
        <v>2.36</v>
      </c>
      <c r="I330" s="4">
        <v>0</v>
      </c>
    </row>
    <row r="331" spans="1:9" x14ac:dyDescent="0.15">
      <c r="A331" s="2">
        <v>18</v>
      </c>
      <c r="B331" s="1" t="s">
        <v>105</v>
      </c>
      <c r="C331" s="4">
        <v>92</v>
      </c>
      <c r="D331" s="8">
        <v>1.2</v>
      </c>
      <c r="E331" s="4">
        <v>29</v>
      </c>
      <c r="F331" s="8">
        <v>0.69</v>
      </c>
      <c r="G331" s="4">
        <v>63</v>
      </c>
      <c r="H331" s="8">
        <v>1.83</v>
      </c>
      <c r="I331" s="4">
        <v>0</v>
      </c>
    </row>
    <row r="332" spans="1:9" x14ac:dyDescent="0.15">
      <c r="A332" s="2">
        <v>18</v>
      </c>
      <c r="B332" s="1" t="s">
        <v>94</v>
      </c>
      <c r="C332" s="4">
        <v>92</v>
      </c>
      <c r="D332" s="8">
        <v>1.2</v>
      </c>
      <c r="E332" s="4">
        <v>3</v>
      </c>
      <c r="F332" s="8">
        <v>7.0000000000000007E-2</v>
      </c>
      <c r="G332" s="4">
        <v>88</v>
      </c>
      <c r="H332" s="8">
        <v>2.56</v>
      </c>
      <c r="I332" s="4">
        <v>1</v>
      </c>
    </row>
    <row r="333" spans="1:9" x14ac:dyDescent="0.15">
      <c r="A333" s="1"/>
      <c r="C333" s="4"/>
      <c r="D333" s="8"/>
      <c r="E333" s="4"/>
      <c r="F333" s="8"/>
      <c r="G333" s="4"/>
      <c r="H333" s="8"/>
      <c r="I333" s="4"/>
    </row>
    <row r="334" spans="1:9" x14ac:dyDescent="0.15">
      <c r="A334" s="1" t="s">
        <v>15</v>
      </c>
      <c r="C334" s="4"/>
      <c r="D334" s="8"/>
      <c r="E334" s="4"/>
      <c r="F334" s="8"/>
      <c r="G334" s="4"/>
      <c r="H334" s="8"/>
      <c r="I334" s="4"/>
    </row>
    <row r="335" spans="1:9" x14ac:dyDescent="0.15">
      <c r="A335" s="2">
        <v>1</v>
      </c>
      <c r="B335" s="1" t="s">
        <v>89</v>
      </c>
      <c r="C335" s="4">
        <v>204</v>
      </c>
      <c r="D335" s="8">
        <v>13.18</v>
      </c>
      <c r="E335" s="4">
        <v>196</v>
      </c>
      <c r="F335" s="8">
        <v>18.3</v>
      </c>
      <c r="G335" s="4">
        <v>8</v>
      </c>
      <c r="H335" s="8">
        <v>1.68</v>
      </c>
      <c r="I335" s="4">
        <v>0</v>
      </c>
    </row>
    <row r="336" spans="1:9" x14ac:dyDescent="0.15">
      <c r="A336" s="2">
        <v>2</v>
      </c>
      <c r="B336" s="1" t="s">
        <v>90</v>
      </c>
      <c r="C336" s="4">
        <v>150</v>
      </c>
      <c r="D336" s="8">
        <v>9.69</v>
      </c>
      <c r="E336" s="4">
        <v>138</v>
      </c>
      <c r="F336" s="8">
        <v>12.89</v>
      </c>
      <c r="G336" s="4">
        <v>12</v>
      </c>
      <c r="H336" s="8">
        <v>2.5299999999999998</v>
      </c>
      <c r="I336" s="4">
        <v>0</v>
      </c>
    </row>
    <row r="337" spans="1:9" x14ac:dyDescent="0.15">
      <c r="A337" s="2">
        <v>3</v>
      </c>
      <c r="B337" s="1" t="s">
        <v>84</v>
      </c>
      <c r="C337" s="4">
        <v>136</v>
      </c>
      <c r="D337" s="8">
        <v>8.7899999999999991</v>
      </c>
      <c r="E337" s="4">
        <v>85</v>
      </c>
      <c r="F337" s="8">
        <v>7.94</v>
      </c>
      <c r="G337" s="4">
        <v>51</v>
      </c>
      <c r="H337" s="8">
        <v>10.74</v>
      </c>
      <c r="I337" s="4">
        <v>0</v>
      </c>
    </row>
    <row r="338" spans="1:9" x14ac:dyDescent="0.15">
      <c r="A338" s="2">
        <v>4</v>
      </c>
      <c r="B338" s="1" t="s">
        <v>86</v>
      </c>
      <c r="C338" s="4">
        <v>128</v>
      </c>
      <c r="D338" s="8">
        <v>8.27</v>
      </c>
      <c r="E338" s="4">
        <v>82</v>
      </c>
      <c r="F338" s="8">
        <v>7.66</v>
      </c>
      <c r="G338" s="4">
        <v>46</v>
      </c>
      <c r="H338" s="8">
        <v>9.68</v>
      </c>
      <c r="I338" s="4">
        <v>0</v>
      </c>
    </row>
    <row r="339" spans="1:9" x14ac:dyDescent="0.15">
      <c r="A339" s="2">
        <v>5</v>
      </c>
      <c r="B339" s="1" t="s">
        <v>82</v>
      </c>
      <c r="C339" s="4">
        <v>101</v>
      </c>
      <c r="D339" s="8">
        <v>6.52</v>
      </c>
      <c r="E339" s="4">
        <v>87</v>
      </c>
      <c r="F339" s="8">
        <v>8.1199999999999992</v>
      </c>
      <c r="G339" s="4">
        <v>14</v>
      </c>
      <c r="H339" s="8">
        <v>2.95</v>
      </c>
      <c r="I339" s="4">
        <v>0</v>
      </c>
    </row>
    <row r="340" spans="1:9" x14ac:dyDescent="0.15">
      <c r="A340" s="2">
        <v>6</v>
      </c>
      <c r="B340" s="1" t="s">
        <v>81</v>
      </c>
      <c r="C340" s="4">
        <v>68</v>
      </c>
      <c r="D340" s="8">
        <v>4.3899999999999997</v>
      </c>
      <c r="E340" s="4">
        <v>46</v>
      </c>
      <c r="F340" s="8">
        <v>4.3</v>
      </c>
      <c r="G340" s="4">
        <v>22</v>
      </c>
      <c r="H340" s="8">
        <v>4.63</v>
      </c>
      <c r="I340" s="4">
        <v>0</v>
      </c>
    </row>
    <row r="341" spans="1:9" x14ac:dyDescent="0.15">
      <c r="A341" s="2">
        <v>7</v>
      </c>
      <c r="B341" s="1" t="s">
        <v>74</v>
      </c>
      <c r="C341" s="4">
        <v>66</v>
      </c>
      <c r="D341" s="8">
        <v>4.26</v>
      </c>
      <c r="E341" s="4">
        <v>26</v>
      </c>
      <c r="F341" s="8">
        <v>2.4300000000000002</v>
      </c>
      <c r="G341" s="4">
        <v>40</v>
      </c>
      <c r="H341" s="8">
        <v>8.42</v>
      </c>
      <c r="I341" s="4">
        <v>0</v>
      </c>
    </row>
    <row r="342" spans="1:9" x14ac:dyDescent="0.15">
      <c r="A342" s="2">
        <v>8</v>
      </c>
      <c r="B342" s="1" t="s">
        <v>75</v>
      </c>
      <c r="C342" s="4">
        <v>50</v>
      </c>
      <c r="D342" s="8">
        <v>3.23</v>
      </c>
      <c r="E342" s="4">
        <v>31</v>
      </c>
      <c r="F342" s="8">
        <v>2.89</v>
      </c>
      <c r="G342" s="4">
        <v>19</v>
      </c>
      <c r="H342" s="8">
        <v>4</v>
      </c>
      <c r="I342" s="4">
        <v>0</v>
      </c>
    </row>
    <row r="343" spans="1:9" x14ac:dyDescent="0.15">
      <c r="A343" s="2">
        <v>9</v>
      </c>
      <c r="B343" s="1" t="s">
        <v>92</v>
      </c>
      <c r="C343" s="4">
        <v>48</v>
      </c>
      <c r="D343" s="8">
        <v>3.1</v>
      </c>
      <c r="E343" s="4">
        <v>42</v>
      </c>
      <c r="F343" s="8">
        <v>3.92</v>
      </c>
      <c r="G343" s="4">
        <v>6</v>
      </c>
      <c r="H343" s="8">
        <v>1.26</v>
      </c>
      <c r="I343" s="4">
        <v>0</v>
      </c>
    </row>
    <row r="344" spans="1:9" x14ac:dyDescent="0.15">
      <c r="A344" s="2">
        <v>10</v>
      </c>
      <c r="B344" s="1" t="s">
        <v>93</v>
      </c>
      <c r="C344" s="4">
        <v>47</v>
      </c>
      <c r="D344" s="8">
        <v>3.04</v>
      </c>
      <c r="E344" s="4">
        <v>45</v>
      </c>
      <c r="F344" s="8">
        <v>4.2</v>
      </c>
      <c r="G344" s="4">
        <v>2</v>
      </c>
      <c r="H344" s="8">
        <v>0.42</v>
      </c>
      <c r="I344" s="4">
        <v>0</v>
      </c>
    </row>
    <row r="345" spans="1:9" x14ac:dyDescent="0.15">
      <c r="A345" s="2">
        <v>11</v>
      </c>
      <c r="B345" s="1" t="s">
        <v>83</v>
      </c>
      <c r="C345" s="4">
        <v>46</v>
      </c>
      <c r="D345" s="8">
        <v>2.97</v>
      </c>
      <c r="E345" s="4">
        <v>37</v>
      </c>
      <c r="F345" s="8">
        <v>3.45</v>
      </c>
      <c r="G345" s="4">
        <v>9</v>
      </c>
      <c r="H345" s="8">
        <v>1.89</v>
      </c>
      <c r="I345" s="4">
        <v>0</v>
      </c>
    </row>
    <row r="346" spans="1:9" x14ac:dyDescent="0.15">
      <c r="A346" s="2">
        <v>12</v>
      </c>
      <c r="B346" s="1" t="s">
        <v>76</v>
      </c>
      <c r="C346" s="4">
        <v>44</v>
      </c>
      <c r="D346" s="8">
        <v>2.84</v>
      </c>
      <c r="E346" s="4">
        <v>22</v>
      </c>
      <c r="F346" s="8">
        <v>2.0499999999999998</v>
      </c>
      <c r="G346" s="4">
        <v>22</v>
      </c>
      <c r="H346" s="8">
        <v>4.63</v>
      </c>
      <c r="I346" s="4">
        <v>0</v>
      </c>
    </row>
    <row r="347" spans="1:9" x14ac:dyDescent="0.15">
      <c r="A347" s="2">
        <v>13</v>
      </c>
      <c r="B347" s="1" t="s">
        <v>88</v>
      </c>
      <c r="C347" s="4">
        <v>35</v>
      </c>
      <c r="D347" s="8">
        <v>2.2599999999999998</v>
      </c>
      <c r="E347" s="4">
        <v>23</v>
      </c>
      <c r="F347" s="8">
        <v>2.15</v>
      </c>
      <c r="G347" s="4">
        <v>12</v>
      </c>
      <c r="H347" s="8">
        <v>2.5299999999999998</v>
      </c>
      <c r="I347" s="4">
        <v>0</v>
      </c>
    </row>
    <row r="348" spans="1:9" x14ac:dyDescent="0.15">
      <c r="A348" s="2">
        <v>14</v>
      </c>
      <c r="B348" s="1" t="s">
        <v>106</v>
      </c>
      <c r="C348" s="4">
        <v>30</v>
      </c>
      <c r="D348" s="8">
        <v>1.94</v>
      </c>
      <c r="E348" s="4">
        <v>24</v>
      </c>
      <c r="F348" s="8">
        <v>2.2400000000000002</v>
      </c>
      <c r="G348" s="4">
        <v>5</v>
      </c>
      <c r="H348" s="8">
        <v>1.05</v>
      </c>
      <c r="I348" s="4">
        <v>1</v>
      </c>
    </row>
    <row r="349" spans="1:9" x14ac:dyDescent="0.15">
      <c r="A349" s="2">
        <v>15</v>
      </c>
      <c r="B349" s="1" t="s">
        <v>87</v>
      </c>
      <c r="C349" s="4">
        <v>29</v>
      </c>
      <c r="D349" s="8">
        <v>1.87</v>
      </c>
      <c r="E349" s="4">
        <v>26</v>
      </c>
      <c r="F349" s="8">
        <v>2.4300000000000002</v>
      </c>
      <c r="G349" s="4">
        <v>3</v>
      </c>
      <c r="H349" s="8">
        <v>0.63</v>
      </c>
      <c r="I349" s="4">
        <v>0</v>
      </c>
    </row>
    <row r="350" spans="1:9" x14ac:dyDescent="0.15">
      <c r="A350" s="2">
        <v>16</v>
      </c>
      <c r="B350" s="1" t="s">
        <v>108</v>
      </c>
      <c r="C350" s="4">
        <v>26</v>
      </c>
      <c r="D350" s="8">
        <v>1.68</v>
      </c>
      <c r="E350" s="4">
        <v>20</v>
      </c>
      <c r="F350" s="8">
        <v>1.87</v>
      </c>
      <c r="G350" s="4">
        <v>6</v>
      </c>
      <c r="H350" s="8">
        <v>1.26</v>
      </c>
      <c r="I350" s="4">
        <v>0</v>
      </c>
    </row>
    <row r="351" spans="1:9" x14ac:dyDescent="0.15">
      <c r="A351" s="2">
        <v>17</v>
      </c>
      <c r="B351" s="1" t="s">
        <v>96</v>
      </c>
      <c r="C351" s="4">
        <v>23</v>
      </c>
      <c r="D351" s="8">
        <v>1.49</v>
      </c>
      <c r="E351" s="4">
        <v>13</v>
      </c>
      <c r="F351" s="8">
        <v>1.21</v>
      </c>
      <c r="G351" s="4">
        <v>10</v>
      </c>
      <c r="H351" s="8">
        <v>2.11</v>
      </c>
      <c r="I351" s="4">
        <v>0</v>
      </c>
    </row>
    <row r="352" spans="1:9" x14ac:dyDescent="0.15">
      <c r="A352" s="2">
        <v>18</v>
      </c>
      <c r="B352" s="1" t="s">
        <v>94</v>
      </c>
      <c r="C352" s="4">
        <v>20</v>
      </c>
      <c r="D352" s="8">
        <v>1.29</v>
      </c>
      <c r="E352" s="4">
        <v>1</v>
      </c>
      <c r="F352" s="8">
        <v>0.09</v>
      </c>
      <c r="G352" s="4">
        <v>19</v>
      </c>
      <c r="H352" s="8">
        <v>4</v>
      </c>
      <c r="I352" s="4">
        <v>0</v>
      </c>
    </row>
    <row r="353" spans="1:9" x14ac:dyDescent="0.15">
      <c r="A353" s="2">
        <v>19</v>
      </c>
      <c r="B353" s="1" t="s">
        <v>107</v>
      </c>
      <c r="C353" s="4">
        <v>19</v>
      </c>
      <c r="D353" s="8">
        <v>1.23</v>
      </c>
      <c r="E353" s="4">
        <v>10</v>
      </c>
      <c r="F353" s="8">
        <v>0.93</v>
      </c>
      <c r="G353" s="4">
        <v>9</v>
      </c>
      <c r="H353" s="8">
        <v>1.89</v>
      </c>
      <c r="I353" s="4">
        <v>0</v>
      </c>
    </row>
    <row r="354" spans="1:9" x14ac:dyDescent="0.15">
      <c r="A354" s="2">
        <v>20</v>
      </c>
      <c r="B354" s="1" t="s">
        <v>79</v>
      </c>
      <c r="C354" s="4">
        <v>18</v>
      </c>
      <c r="D354" s="8">
        <v>1.1599999999999999</v>
      </c>
      <c r="E354" s="4">
        <v>4</v>
      </c>
      <c r="F354" s="8">
        <v>0.37</v>
      </c>
      <c r="G354" s="4">
        <v>14</v>
      </c>
      <c r="H354" s="8">
        <v>2.95</v>
      </c>
      <c r="I354" s="4">
        <v>0</v>
      </c>
    </row>
    <row r="355" spans="1:9" x14ac:dyDescent="0.15">
      <c r="A355" s="1"/>
      <c r="C355" s="4"/>
      <c r="D355" s="8"/>
      <c r="E355" s="4"/>
      <c r="F355" s="8"/>
      <c r="G355" s="4"/>
      <c r="H355" s="8"/>
      <c r="I355" s="4"/>
    </row>
    <row r="356" spans="1:9" x14ac:dyDescent="0.15">
      <c r="A356" s="1" t="s">
        <v>16</v>
      </c>
      <c r="C356" s="4"/>
      <c r="D356" s="8"/>
      <c r="E356" s="4"/>
      <c r="F356" s="8"/>
      <c r="G356" s="4"/>
      <c r="H356" s="8"/>
      <c r="I356" s="4"/>
    </row>
    <row r="357" spans="1:9" x14ac:dyDescent="0.15">
      <c r="A357" s="2">
        <v>1</v>
      </c>
      <c r="B357" s="1" t="s">
        <v>86</v>
      </c>
      <c r="C357" s="4">
        <v>197</v>
      </c>
      <c r="D357" s="8">
        <v>11.95</v>
      </c>
      <c r="E357" s="4">
        <v>13</v>
      </c>
      <c r="F357" s="8">
        <v>1.72</v>
      </c>
      <c r="G357" s="4">
        <v>182</v>
      </c>
      <c r="H357" s="8">
        <v>20.54</v>
      </c>
      <c r="I357" s="4">
        <v>2</v>
      </c>
    </row>
    <row r="358" spans="1:9" x14ac:dyDescent="0.15">
      <c r="A358" s="2">
        <v>2</v>
      </c>
      <c r="B358" s="1" t="s">
        <v>89</v>
      </c>
      <c r="C358" s="4">
        <v>189</v>
      </c>
      <c r="D358" s="8">
        <v>11.46</v>
      </c>
      <c r="E358" s="4">
        <v>150</v>
      </c>
      <c r="F358" s="8">
        <v>19.82</v>
      </c>
      <c r="G358" s="4">
        <v>39</v>
      </c>
      <c r="H358" s="8">
        <v>4.4000000000000004</v>
      </c>
      <c r="I358" s="4">
        <v>0</v>
      </c>
    </row>
    <row r="359" spans="1:9" x14ac:dyDescent="0.15">
      <c r="A359" s="2">
        <v>3</v>
      </c>
      <c r="B359" s="1" t="s">
        <v>90</v>
      </c>
      <c r="C359" s="4">
        <v>184</v>
      </c>
      <c r="D359" s="8">
        <v>11.16</v>
      </c>
      <c r="E359" s="4">
        <v>136</v>
      </c>
      <c r="F359" s="8">
        <v>17.97</v>
      </c>
      <c r="G359" s="4">
        <v>48</v>
      </c>
      <c r="H359" s="8">
        <v>5.42</v>
      </c>
      <c r="I359" s="4">
        <v>0</v>
      </c>
    </row>
    <row r="360" spans="1:9" x14ac:dyDescent="0.15">
      <c r="A360" s="2">
        <v>4</v>
      </c>
      <c r="B360" s="1" t="s">
        <v>84</v>
      </c>
      <c r="C360" s="4">
        <v>135</v>
      </c>
      <c r="D360" s="8">
        <v>8.19</v>
      </c>
      <c r="E360" s="4">
        <v>75</v>
      </c>
      <c r="F360" s="8">
        <v>9.91</v>
      </c>
      <c r="G360" s="4">
        <v>59</v>
      </c>
      <c r="H360" s="8">
        <v>6.66</v>
      </c>
      <c r="I360" s="4">
        <v>1</v>
      </c>
    </row>
    <row r="361" spans="1:9" x14ac:dyDescent="0.15">
      <c r="A361" s="2">
        <v>5</v>
      </c>
      <c r="B361" s="1" t="s">
        <v>81</v>
      </c>
      <c r="C361" s="4">
        <v>110</v>
      </c>
      <c r="D361" s="8">
        <v>6.67</v>
      </c>
      <c r="E361" s="4">
        <v>53</v>
      </c>
      <c r="F361" s="8">
        <v>7</v>
      </c>
      <c r="G361" s="4">
        <v>57</v>
      </c>
      <c r="H361" s="8">
        <v>6.43</v>
      </c>
      <c r="I361" s="4">
        <v>0</v>
      </c>
    </row>
    <row r="362" spans="1:9" x14ac:dyDescent="0.15">
      <c r="A362" s="2">
        <v>6</v>
      </c>
      <c r="B362" s="1" t="s">
        <v>93</v>
      </c>
      <c r="C362" s="4">
        <v>96</v>
      </c>
      <c r="D362" s="8">
        <v>5.82</v>
      </c>
      <c r="E362" s="4">
        <v>87</v>
      </c>
      <c r="F362" s="8">
        <v>11.49</v>
      </c>
      <c r="G362" s="4">
        <v>9</v>
      </c>
      <c r="H362" s="8">
        <v>1.02</v>
      </c>
      <c r="I362" s="4">
        <v>0</v>
      </c>
    </row>
    <row r="363" spans="1:9" x14ac:dyDescent="0.15">
      <c r="A363" s="2">
        <v>7</v>
      </c>
      <c r="B363" s="1" t="s">
        <v>82</v>
      </c>
      <c r="C363" s="4">
        <v>88</v>
      </c>
      <c r="D363" s="8">
        <v>5.34</v>
      </c>
      <c r="E363" s="4">
        <v>58</v>
      </c>
      <c r="F363" s="8">
        <v>7.66</v>
      </c>
      <c r="G363" s="4">
        <v>29</v>
      </c>
      <c r="H363" s="8">
        <v>3.27</v>
      </c>
      <c r="I363" s="4">
        <v>1</v>
      </c>
    </row>
    <row r="364" spans="1:9" x14ac:dyDescent="0.15">
      <c r="A364" s="2">
        <v>8</v>
      </c>
      <c r="B364" s="1" t="s">
        <v>92</v>
      </c>
      <c r="C364" s="4">
        <v>87</v>
      </c>
      <c r="D364" s="8">
        <v>5.28</v>
      </c>
      <c r="E364" s="4">
        <v>47</v>
      </c>
      <c r="F364" s="8">
        <v>6.21</v>
      </c>
      <c r="G364" s="4">
        <v>39</v>
      </c>
      <c r="H364" s="8">
        <v>4.4000000000000004</v>
      </c>
      <c r="I364" s="4">
        <v>1</v>
      </c>
    </row>
    <row r="365" spans="1:9" x14ac:dyDescent="0.15">
      <c r="A365" s="2">
        <v>9</v>
      </c>
      <c r="B365" s="1" t="s">
        <v>87</v>
      </c>
      <c r="C365" s="4">
        <v>68</v>
      </c>
      <c r="D365" s="8">
        <v>4.12</v>
      </c>
      <c r="E365" s="4">
        <v>35</v>
      </c>
      <c r="F365" s="8">
        <v>4.62</v>
      </c>
      <c r="G365" s="4">
        <v>33</v>
      </c>
      <c r="H365" s="8">
        <v>3.72</v>
      </c>
      <c r="I365" s="4">
        <v>0</v>
      </c>
    </row>
    <row r="366" spans="1:9" x14ac:dyDescent="0.15">
      <c r="A366" s="2">
        <v>10</v>
      </c>
      <c r="B366" s="1" t="s">
        <v>85</v>
      </c>
      <c r="C366" s="4">
        <v>66</v>
      </c>
      <c r="D366" s="8">
        <v>4</v>
      </c>
      <c r="E366" s="4">
        <v>9</v>
      </c>
      <c r="F366" s="8">
        <v>1.19</v>
      </c>
      <c r="G366" s="4">
        <v>57</v>
      </c>
      <c r="H366" s="8">
        <v>6.43</v>
      </c>
      <c r="I366" s="4">
        <v>0</v>
      </c>
    </row>
    <row r="367" spans="1:9" x14ac:dyDescent="0.15">
      <c r="A367" s="2">
        <v>11</v>
      </c>
      <c r="B367" s="1" t="s">
        <v>74</v>
      </c>
      <c r="C367" s="4">
        <v>57</v>
      </c>
      <c r="D367" s="8">
        <v>3.46</v>
      </c>
      <c r="E367" s="4">
        <v>10</v>
      </c>
      <c r="F367" s="8">
        <v>1.32</v>
      </c>
      <c r="G367" s="4">
        <v>47</v>
      </c>
      <c r="H367" s="8">
        <v>5.3</v>
      </c>
      <c r="I367" s="4">
        <v>0</v>
      </c>
    </row>
    <row r="368" spans="1:9" x14ac:dyDescent="0.15">
      <c r="A368" s="2">
        <v>12</v>
      </c>
      <c r="B368" s="1" t="s">
        <v>88</v>
      </c>
      <c r="C368" s="4">
        <v>37</v>
      </c>
      <c r="D368" s="8">
        <v>2.2400000000000002</v>
      </c>
      <c r="E368" s="4">
        <v>15</v>
      </c>
      <c r="F368" s="8">
        <v>1.98</v>
      </c>
      <c r="G368" s="4">
        <v>22</v>
      </c>
      <c r="H368" s="8">
        <v>2.48</v>
      </c>
      <c r="I368" s="4">
        <v>0</v>
      </c>
    </row>
    <row r="369" spans="1:9" x14ac:dyDescent="0.15">
      <c r="A369" s="2">
        <v>13</v>
      </c>
      <c r="B369" s="1" t="s">
        <v>80</v>
      </c>
      <c r="C369" s="4">
        <v>35</v>
      </c>
      <c r="D369" s="8">
        <v>2.12</v>
      </c>
      <c r="E369" s="4">
        <v>3</v>
      </c>
      <c r="F369" s="8">
        <v>0.4</v>
      </c>
      <c r="G369" s="4">
        <v>32</v>
      </c>
      <c r="H369" s="8">
        <v>3.61</v>
      </c>
      <c r="I369" s="4">
        <v>0</v>
      </c>
    </row>
    <row r="370" spans="1:9" x14ac:dyDescent="0.15">
      <c r="A370" s="2">
        <v>14</v>
      </c>
      <c r="B370" s="1" t="s">
        <v>105</v>
      </c>
      <c r="C370" s="4">
        <v>22</v>
      </c>
      <c r="D370" s="8">
        <v>1.33</v>
      </c>
      <c r="E370" s="4">
        <v>1</v>
      </c>
      <c r="F370" s="8">
        <v>0.13</v>
      </c>
      <c r="G370" s="4">
        <v>21</v>
      </c>
      <c r="H370" s="8">
        <v>2.37</v>
      </c>
      <c r="I370" s="4">
        <v>0</v>
      </c>
    </row>
    <row r="371" spans="1:9" x14ac:dyDescent="0.15">
      <c r="A371" s="2">
        <v>15</v>
      </c>
      <c r="B371" s="1" t="s">
        <v>75</v>
      </c>
      <c r="C371" s="4">
        <v>20</v>
      </c>
      <c r="D371" s="8">
        <v>1.21</v>
      </c>
      <c r="E371" s="4">
        <v>6</v>
      </c>
      <c r="F371" s="8">
        <v>0.79</v>
      </c>
      <c r="G371" s="4">
        <v>14</v>
      </c>
      <c r="H371" s="8">
        <v>1.58</v>
      </c>
      <c r="I371" s="4">
        <v>0</v>
      </c>
    </row>
    <row r="372" spans="1:9" x14ac:dyDescent="0.15">
      <c r="A372" s="2">
        <v>15</v>
      </c>
      <c r="B372" s="1" t="s">
        <v>83</v>
      </c>
      <c r="C372" s="4">
        <v>20</v>
      </c>
      <c r="D372" s="8">
        <v>1.21</v>
      </c>
      <c r="E372" s="4">
        <v>9</v>
      </c>
      <c r="F372" s="8">
        <v>1.19</v>
      </c>
      <c r="G372" s="4">
        <v>11</v>
      </c>
      <c r="H372" s="8">
        <v>1.24</v>
      </c>
      <c r="I372" s="4">
        <v>0</v>
      </c>
    </row>
    <row r="373" spans="1:9" x14ac:dyDescent="0.15">
      <c r="A373" s="2">
        <v>17</v>
      </c>
      <c r="B373" s="1" t="s">
        <v>79</v>
      </c>
      <c r="C373" s="4">
        <v>19</v>
      </c>
      <c r="D373" s="8">
        <v>1.1499999999999999</v>
      </c>
      <c r="E373" s="4">
        <v>1</v>
      </c>
      <c r="F373" s="8">
        <v>0.13</v>
      </c>
      <c r="G373" s="4">
        <v>18</v>
      </c>
      <c r="H373" s="8">
        <v>2.0299999999999998</v>
      </c>
      <c r="I373" s="4">
        <v>0</v>
      </c>
    </row>
    <row r="374" spans="1:9" x14ac:dyDescent="0.15">
      <c r="A374" s="2">
        <v>17</v>
      </c>
      <c r="B374" s="1" t="s">
        <v>91</v>
      </c>
      <c r="C374" s="4">
        <v>19</v>
      </c>
      <c r="D374" s="8">
        <v>1.1499999999999999</v>
      </c>
      <c r="E374" s="4">
        <v>6</v>
      </c>
      <c r="F374" s="8">
        <v>0.79</v>
      </c>
      <c r="G374" s="4">
        <v>13</v>
      </c>
      <c r="H374" s="8">
        <v>1.47</v>
      </c>
      <c r="I374" s="4">
        <v>0</v>
      </c>
    </row>
    <row r="375" spans="1:9" x14ac:dyDescent="0.15">
      <c r="A375" s="2">
        <v>19</v>
      </c>
      <c r="B375" s="1" t="s">
        <v>76</v>
      </c>
      <c r="C375" s="4">
        <v>17</v>
      </c>
      <c r="D375" s="8">
        <v>1.03</v>
      </c>
      <c r="E375" s="4">
        <v>6</v>
      </c>
      <c r="F375" s="8">
        <v>0.79</v>
      </c>
      <c r="G375" s="4">
        <v>11</v>
      </c>
      <c r="H375" s="8">
        <v>1.24</v>
      </c>
      <c r="I375" s="4">
        <v>0</v>
      </c>
    </row>
    <row r="376" spans="1:9" x14ac:dyDescent="0.15">
      <c r="A376" s="2">
        <v>19</v>
      </c>
      <c r="B376" s="1" t="s">
        <v>78</v>
      </c>
      <c r="C376" s="4">
        <v>17</v>
      </c>
      <c r="D376" s="8">
        <v>1.03</v>
      </c>
      <c r="E376" s="4">
        <v>2</v>
      </c>
      <c r="F376" s="8">
        <v>0.26</v>
      </c>
      <c r="G376" s="4">
        <v>15</v>
      </c>
      <c r="H376" s="8">
        <v>1.69</v>
      </c>
      <c r="I376" s="4">
        <v>0</v>
      </c>
    </row>
    <row r="377" spans="1:9" x14ac:dyDescent="0.15">
      <c r="A377" s="1"/>
      <c r="C377" s="4"/>
      <c r="D377" s="8"/>
      <c r="E377" s="4"/>
      <c r="F377" s="8"/>
      <c r="G377" s="4"/>
      <c r="H377" s="8"/>
      <c r="I377" s="4"/>
    </row>
    <row r="378" spans="1:9" x14ac:dyDescent="0.15">
      <c r="A378" s="1" t="s">
        <v>17</v>
      </c>
      <c r="C378" s="4"/>
      <c r="D378" s="8"/>
      <c r="E378" s="4"/>
      <c r="F378" s="8"/>
      <c r="G378" s="4"/>
      <c r="H378" s="8"/>
      <c r="I378" s="4"/>
    </row>
    <row r="379" spans="1:9" x14ac:dyDescent="0.15">
      <c r="A379" s="2">
        <v>1</v>
      </c>
      <c r="B379" s="1" t="s">
        <v>89</v>
      </c>
      <c r="C379" s="4">
        <v>408</v>
      </c>
      <c r="D379" s="8">
        <v>13.28</v>
      </c>
      <c r="E379" s="4">
        <v>374</v>
      </c>
      <c r="F379" s="8">
        <v>23.03</v>
      </c>
      <c r="G379" s="4">
        <v>34</v>
      </c>
      <c r="H379" s="8">
        <v>2.35</v>
      </c>
      <c r="I379" s="4">
        <v>0</v>
      </c>
    </row>
    <row r="380" spans="1:9" x14ac:dyDescent="0.15">
      <c r="A380" s="2">
        <v>2</v>
      </c>
      <c r="B380" s="1" t="s">
        <v>90</v>
      </c>
      <c r="C380" s="4">
        <v>348</v>
      </c>
      <c r="D380" s="8">
        <v>11.32</v>
      </c>
      <c r="E380" s="4">
        <v>289</v>
      </c>
      <c r="F380" s="8">
        <v>17.8</v>
      </c>
      <c r="G380" s="4">
        <v>59</v>
      </c>
      <c r="H380" s="8">
        <v>4.08</v>
      </c>
      <c r="I380" s="4">
        <v>0</v>
      </c>
    </row>
    <row r="381" spans="1:9" x14ac:dyDescent="0.15">
      <c r="A381" s="2">
        <v>3</v>
      </c>
      <c r="B381" s="1" t="s">
        <v>86</v>
      </c>
      <c r="C381" s="4">
        <v>223</v>
      </c>
      <c r="D381" s="8">
        <v>7.26</v>
      </c>
      <c r="E381" s="4">
        <v>53</v>
      </c>
      <c r="F381" s="8">
        <v>3.26</v>
      </c>
      <c r="G381" s="4">
        <v>170</v>
      </c>
      <c r="H381" s="8">
        <v>11.76</v>
      </c>
      <c r="I381" s="4">
        <v>0</v>
      </c>
    </row>
    <row r="382" spans="1:9" x14ac:dyDescent="0.15">
      <c r="A382" s="2">
        <v>4</v>
      </c>
      <c r="B382" s="1" t="s">
        <v>84</v>
      </c>
      <c r="C382" s="4">
        <v>194</v>
      </c>
      <c r="D382" s="8">
        <v>6.31</v>
      </c>
      <c r="E382" s="4">
        <v>119</v>
      </c>
      <c r="F382" s="8">
        <v>7.33</v>
      </c>
      <c r="G382" s="4">
        <v>74</v>
      </c>
      <c r="H382" s="8">
        <v>5.12</v>
      </c>
      <c r="I382" s="4">
        <v>1</v>
      </c>
    </row>
    <row r="383" spans="1:9" x14ac:dyDescent="0.15">
      <c r="A383" s="2">
        <v>5</v>
      </c>
      <c r="B383" s="1" t="s">
        <v>74</v>
      </c>
      <c r="C383" s="4">
        <v>192</v>
      </c>
      <c r="D383" s="8">
        <v>6.25</v>
      </c>
      <c r="E383" s="4">
        <v>28</v>
      </c>
      <c r="F383" s="8">
        <v>1.72</v>
      </c>
      <c r="G383" s="4">
        <v>164</v>
      </c>
      <c r="H383" s="8">
        <v>11.35</v>
      </c>
      <c r="I383" s="4">
        <v>0</v>
      </c>
    </row>
    <row r="384" spans="1:9" x14ac:dyDescent="0.15">
      <c r="A384" s="2">
        <v>6</v>
      </c>
      <c r="B384" s="1" t="s">
        <v>82</v>
      </c>
      <c r="C384" s="4">
        <v>140</v>
      </c>
      <c r="D384" s="8">
        <v>4.5599999999999996</v>
      </c>
      <c r="E384" s="4">
        <v>101</v>
      </c>
      <c r="F384" s="8">
        <v>6.22</v>
      </c>
      <c r="G384" s="4">
        <v>39</v>
      </c>
      <c r="H384" s="8">
        <v>2.7</v>
      </c>
      <c r="I384" s="4">
        <v>0</v>
      </c>
    </row>
    <row r="385" spans="1:9" x14ac:dyDescent="0.15">
      <c r="A385" s="2">
        <v>7</v>
      </c>
      <c r="B385" s="1" t="s">
        <v>92</v>
      </c>
      <c r="C385" s="4">
        <v>133</v>
      </c>
      <c r="D385" s="8">
        <v>4.33</v>
      </c>
      <c r="E385" s="4">
        <v>95</v>
      </c>
      <c r="F385" s="8">
        <v>5.85</v>
      </c>
      <c r="G385" s="4">
        <v>37</v>
      </c>
      <c r="H385" s="8">
        <v>2.56</v>
      </c>
      <c r="I385" s="4">
        <v>1</v>
      </c>
    </row>
    <row r="386" spans="1:9" x14ac:dyDescent="0.15">
      <c r="A386" s="2">
        <v>8</v>
      </c>
      <c r="B386" s="1" t="s">
        <v>93</v>
      </c>
      <c r="C386" s="4">
        <v>126</v>
      </c>
      <c r="D386" s="8">
        <v>4.0999999999999996</v>
      </c>
      <c r="E386" s="4">
        <v>111</v>
      </c>
      <c r="F386" s="8">
        <v>6.83</v>
      </c>
      <c r="G386" s="4">
        <v>15</v>
      </c>
      <c r="H386" s="8">
        <v>1.04</v>
      </c>
      <c r="I386" s="4">
        <v>0</v>
      </c>
    </row>
    <row r="387" spans="1:9" x14ac:dyDescent="0.15">
      <c r="A387" s="2">
        <v>9</v>
      </c>
      <c r="B387" s="1" t="s">
        <v>83</v>
      </c>
      <c r="C387" s="4">
        <v>125</v>
      </c>
      <c r="D387" s="8">
        <v>4.07</v>
      </c>
      <c r="E387" s="4">
        <v>74</v>
      </c>
      <c r="F387" s="8">
        <v>4.5599999999999996</v>
      </c>
      <c r="G387" s="4">
        <v>51</v>
      </c>
      <c r="H387" s="8">
        <v>3.53</v>
      </c>
      <c r="I387" s="4">
        <v>0</v>
      </c>
    </row>
    <row r="388" spans="1:9" x14ac:dyDescent="0.15">
      <c r="A388" s="2">
        <v>10</v>
      </c>
      <c r="B388" s="1" t="s">
        <v>76</v>
      </c>
      <c r="C388" s="4">
        <v>106</v>
      </c>
      <c r="D388" s="8">
        <v>3.45</v>
      </c>
      <c r="E388" s="4">
        <v>19</v>
      </c>
      <c r="F388" s="8">
        <v>1.17</v>
      </c>
      <c r="G388" s="4">
        <v>87</v>
      </c>
      <c r="H388" s="8">
        <v>6.02</v>
      </c>
      <c r="I388" s="4">
        <v>0</v>
      </c>
    </row>
    <row r="389" spans="1:9" x14ac:dyDescent="0.15">
      <c r="A389" s="2">
        <v>11</v>
      </c>
      <c r="B389" s="1" t="s">
        <v>81</v>
      </c>
      <c r="C389" s="4">
        <v>102</v>
      </c>
      <c r="D389" s="8">
        <v>3.32</v>
      </c>
      <c r="E389" s="4">
        <v>41</v>
      </c>
      <c r="F389" s="8">
        <v>2.52</v>
      </c>
      <c r="G389" s="4">
        <v>60</v>
      </c>
      <c r="H389" s="8">
        <v>4.1500000000000004</v>
      </c>
      <c r="I389" s="4">
        <v>1</v>
      </c>
    </row>
    <row r="390" spans="1:9" x14ac:dyDescent="0.15">
      <c r="A390" s="2">
        <v>12</v>
      </c>
      <c r="B390" s="1" t="s">
        <v>75</v>
      </c>
      <c r="C390" s="4">
        <v>88</v>
      </c>
      <c r="D390" s="8">
        <v>2.86</v>
      </c>
      <c r="E390" s="4">
        <v>28</v>
      </c>
      <c r="F390" s="8">
        <v>1.72</v>
      </c>
      <c r="G390" s="4">
        <v>60</v>
      </c>
      <c r="H390" s="8">
        <v>4.1500000000000004</v>
      </c>
      <c r="I390" s="4">
        <v>0</v>
      </c>
    </row>
    <row r="391" spans="1:9" x14ac:dyDescent="0.15">
      <c r="A391" s="2">
        <v>13</v>
      </c>
      <c r="B391" s="1" t="s">
        <v>85</v>
      </c>
      <c r="C391" s="4">
        <v>70</v>
      </c>
      <c r="D391" s="8">
        <v>2.2799999999999998</v>
      </c>
      <c r="E391" s="4">
        <v>13</v>
      </c>
      <c r="F391" s="8">
        <v>0.8</v>
      </c>
      <c r="G391" s="4">
        <v>57</v>
      </c>
      <c r="H391" s="8">
        <v>3.94</v>
      </c>
      <c r="I391" s="4">
        <v>0</v>
      </c>
    </row>
    <row r="392" spans="1:9" x14ac:dyDescent="0.15">
      <c r="A392" s="2">
        <v>13</v>
      </c>
      <c r="B392" s="1" t="s">
        <v>87</v>
      </c>
      <c r="C392" s="4">
        <v>70</v>
      </c>
      <c r="D392" s="8">
        <v>2.2799999999999998</v>
      </c>
      <c r="E392" s="4">
        <v>48</v>
      </c>
      <c r="F392" s="8">
        <v>2.96</v>
      </c>
      <c r="G392" s="4">
        <v>22</v>
      </c>
      <c r="H392" s="8">
        <v>1.52</v>
      </c>
      <c r="I392" s="4">
        <v>0</v>
      </c>
    </row>
    <row r="393" spans="1:9" x14ac:dyDescent="0.15">
      <c r="A393" s="2">
        <v>15</v>
      </c>
      <c r="B393" s="1" t="s">
        <v>77</v>
      </c>
      <c r="C393" s="4">
        <v>48</v>
      </c>
      <c r="D393" s="8">
        <v>1.56</v>
      </c>
      <c r="E393" s="4">
        <v>14</v>
      </c>
      <c r="F393" s="8">
        <v>0.86</v>
      </c>
      <c r="G393" s="4">
        <v>34</v>
      </c>
      <c r="H393" s="8">
        <v>2.35</v>
      </c>
      <c r="I393" s="4">
        <v>0</v>
      </c>
    </row>
    <row r="394" spans="1:9" x14ac:dyDescent="0.15">
      <c r="A394" s="2">
        <v>16</v>
      </c>
      <c r="B394" s="1" t="s">
        <v>78</v>
      </c>
      <c r="C394" s="4">
        <v>43</v>
      </c>
      <c r="D394" s="8">
        <v>1.4</v>
      </c>
      <c r="E394" s="4">
        <v>9</v>
      </c>
      <c r="F394" s="8">
        <v>0.55000000000000004</v>
      </c>
      <c r="G394" s="4">
        <v>34</v>
      </c>
      <c r="H394" s="8">
        <v>2.35</v>
      </c>
      <c r="I394" s="4">
        <v>0</v>
      </c>
    </row>
    <row r="395" spans="1:9" x14ac:dyDescent="0.15">
      <c r="A395" s="2">
        <v>17</v>
      </c>
      <c r="B395" s="1" t="s">
        <v>101</v>
      </c>
      <c r="C395" s="4">
        <v>42</v>
      </c>
      <c r="D395" s="8">
        <v>1.37</v>
      </c>
      <c r="E395" s="4">
        <v>8</v>
      </c>
      <c r="F395" s="8">
        <v>0.49</v>
      </c>
      <c r="G395" s="4">
        <v>34</v>
      </c>
      <c r="H395" s="8">
        <v>2.35</v>
      </c>
      <c r="I395" s="4">
        <v>0</v>
      </c>
    </row>
    <row r="396" spans="1:9" x14ac:dyDescent="0.15">
      <c r="A396" s="2">
        <v>18</v>
      </c>
      <c r="B396" s="1" t="s">
        <v>88</v>
      </c>
      <c r="C396" s="4">
        <v>41</v>
      </c>
      <c r="D396" s="8">
        <v>1.33</v>
      </c>
      <c r="E396" s="4">
        <v>21</v>
      </c>
      <c r="F396" s="8">
        <v>1.29</v>
      </c>
      <c r="G396" s="4">
        <v>20</v>
      </c>
      <c r="H396" s="8">
        <v>1.38</v>
      </c>
      <c r="I396" s="4">
        <v>0</v>
      </c>
    </row>
    <row r="397" spans="1:9" x14ac:dyDescent="0.15">
      <c r="A397" s="2">
        <v>19</v>
      </c>
      <c r="B397" s="1" t="s">
        <v>79</v>
      </c>
      <c r="C397" s="4">
        <v>38</v>
      </c>
      <c r="D397" s="8">
        <v>1.24</v>
      </c>
      <c r="E397" s="4">
        <v>4</v>
      </c>
      <c r="F397" s="8">
        <v>0.25</v>
      </c>
      <c r="G397" s="4">
        <v>34</v>
      </c>
      <c r="H397" s="8">
        <v>2.35</v>
      </c>
      <c r="I397" s="4">
        <v>0</v>
      </c>
    </row>
    <row r="398" spans="1:9" x14ac:dyDescent="0.15">
      <c r="A398" s="2">
        <v>20</v>
      </c>
      <c r="B398" s="1" t="s">
        <v>94</v>
      </c>
      <c r="C398" s="4">
        <v>37</v>
      </c>
      <c r="D398" s="8">
        <v>1.2</v>
      </c>
      <c r="E398" s="4">
        <v>1</v>
      </c>
      <c r="F398" s="8">
        <v>0.06</v>
      </c>
      <c r="G398" s="4">
        <v>36</v>
      </c>
      <c r="H398" s="8">
        <v>2.4900000000000002</v>
      </c>
      <c r="I398" s="4">
        <v>0</v>
      </c>
    </row>
    <row r="399" spans="1:9" x14ac:dyDescent="0.15">
      <c r="A399" s="1"/>
      <c r="C399" s="4"/>
      <c r="D399" s="8"/>
      <c r="E399" s="4"/>
      <c r="F399" s="8"/>
      <c r="G399" s="4"/>
      <c r="H399" s="8"/>
      <c r="I399" s="4"/>
    </row>
    <row r="400" spans="1:9" x14ac:dyDescent="0.15">
      <c r="A400" s="1" t="s">
        <v>18</v>
      </c>
      <c r="C400" s="4"/>
      <c r="D400" s="8"/>
      <c r="E400" s="4"/>
      <c r="F400" s="8"/>
      <c r="G400" s="4"/>
      <c r="H400" s="8"/>
      <c r="I400" s="4"/>
    </row>
    <row r="401" spans="1:9" x14ac:dyDescent="0.15">
      <c r="A401" s="2">
        <v>1</v>
      </c>
      <c r="B401" s="1" t="s">
        <v>89</v>
      </c>
      <c r="C401" s="4">
        <v>89</v>
      </c>
      <c r="D401" s="8">
        <v>11.04</v>
      </c>
      <c r="E401" s="4">
        <v>82</v>
      </c>
      <c r="F401" s="8">
        <v>15.21</v>
      </c>
      <c r="G401" s="4">
        <v>7</v>
      </c>
      <c r="H401" s="8">
        <v>2.64</v>
      </c>
      <c r="I401" s="4">
        <v>0</v>
      </c>
    </row>
    <row r="402" spans="1:9" x14ac:dyDescent="0.15">
      <c r="A402" s="2">
        <v>2</v>
      </c>
      <c r="B402" s="1" t="s">
        <v>90</v>
      </c>
      <c r="C402" s="4">
        <v>83</v>
      </c>
      <c r="D402" s="8">
        <v>10.3</v>
      </c>
      <c r="E402" s="4">
        <v>80</v>
      </c>
      <c r="F402" s="8">
        <v>14.84</v>
      </c>
      <c r="G402" s="4">
        <v>3</v>
      </c>
      <c r="H402" s="8">
        <v>1.1299999999999999</v>
      </c>
      <c r="I402" s="4">
        <v>0</v>
      </c>
    </row>
    <row r="403" spans="1:9" x14ac:dyDescent="0.15">
      <c r="A403" s="2">
        <v>3</v>
      </c>
      <c r="B403" s="1" t="s">
        <v>86</v>
      </c>
      <c r="C403" s="4">
        <v>81</v>
      </c>
      <c r="D403" s="8">
        <v>10.050000000000001</v>
      </c>
      <c r="E403" s="4">
        <v>68</v>
      </c>
      <c r="F403" s="8">
        <v>12.62</v>
      </c>
      <c r="G403" s="4">
        <v>13</v>
      </c>
      <c r="H403" s="8">
        <v>4.91</v>
      </c>
      <c r="I403" s="4">
        <v>0</v>
      </c>
    </row>
    <row r="404" spans="1:9" x14ac:dyDescent="0.15">
      <c r="A404" s="2">
        <v>4</v>
      </c>
      <c r="B404" s="1" t="s">
        <v>84</v>
      </c>
      <c r="C404" s="4">
        <v>62</v>
      </c>
      <c r="D404" s="8">
        <v>7.69</v>
      </c>
      <c r="E404" s="4">
        <v>34</v>
      </c>
      <c r="F404" s="8">
        <v>6.31</v>
      </c>
      <c r="G404" s="4">
        <v>28</v>
      </c>
      <c r="H404" s="8">
        <v>10.57</v>
      </c>
      <c r="I404" s="4">
        <v>0</v>
      </c>
    </row>
    <row r="405" spans="1:9" x14ac:dyDescent="0.15">
      <c r="A405" s="2">
        <v>5</v>
      </c>
      <c r="B405" s="1" t="s">
        <v>74</v>
      </c>
      <c r="C405" s="4">
        <v>49</v>
      </c>
      <c r="D405" s="8">
        <v>6.08</v>
      </c>
      <c r="E405" s="4">
        <v>21</v>
      </c>
      <c r="F405" s="8">
        <v>3.9</v>
      </c>
      <c r="G405" s="4">
        <v>28</v>
      </c>
      <c r="H405" s="8">
        <v>10.57</v>
      </c>
      <c r="I405" s="4">
        <v>0</v>
      </c>
    </row>
    <row r="406" spans="1:9" x14ac:dyDescent="0.15">
      <c r="A406" s="2">
        <v>6</v>
      </c>
      <c r="B406" s="1" t="s">
        <v>82</v>
      </c>
      <c r="C406" s="4">
        <v>45</v>
      </c>
      <c r="D406" s="8">
        <v>5.58</v>
      </c>
      <c r="E406" s="4">
        <v>37</v>
      </c>
      <c r="F406" s="8">
        <v>6.86</v>
      </c>
      <c r="G406" s="4">
        <v>8</v>
      </c>
      <c r="H406" s="8">
        <v>3.02</v>
      </c>
      <c r="I406" s="4">
        <v>0</v>
      </c>
    </row>
    <row r="407" spans="1:9" x14ac:dyDescent="0.15">
      <c r="A407" s="2">
        <v>7</v>
      </c>
      <c r="B407" s="1" t="s">
        <v>76</v>
      </c>
      <c r="C407" s="4">
        <v>40</v>
      </c>
      <c r="D407" s="8">
        <v>4.96</v>
      </c>
      <c r="E407" s="4">
        <v>21</v>
      </c>
      <c r="F407" s="8">
        <v>3.9</v>
      </c>
      <c r="G407" s="4">
        <v>19</v>
      </c>
      <c r="H407" s="8">
        <v>7.17</v>
      </c>
      <c r="I407" s="4">
        <v>0</v>
      </c>
    </row>
    <row r="408" spans="1:9" x14ac:dyDescent="0.15">
      <c r="A408" s="2">
        <v>8</v>
      </c>
      <c r="B408" s="1" t="s">
        <v>92</v>
      </c>
      <c r="C408" s="4">
        <v>38</v>
      </c>
      <c r="D408" s="8">
        <v>4.71</v>
      </c>
      <c r="E408" s="4">
        <v>33</v>
      </c>
      <c r="F408" s="8">
        <v>6.12</v>
      </c>
      <c r="G408" s="4">
        <v>5</v>
      </c>
      <c r="H408" s="8">
        <v>1.89</v>
      </c>
      <c r="I408" s="4">
        <v>0</v>
      </c>
    </row>
    <row r="409" spans="1:9" x14ac:dyDescent="0.15">
      <c r="A409" s="2">
        <v>9</v>
      </c>
      <c r="B409" s="1" t="s">
        <v>75</v>
      </c>
      <c r="C409" s="4">
        <v>29</v>
      </c>
      <c r="D409" s="8">
        <v>3.6</v>
      </c>
      <c r="E409" s="4">
        <v>13</v>
      </c>
      <c r="F409" s="8">
        <v>2.41</v>
      </c>
      <c r="G409" s="4">
        <v>16</v>
      </c>
      <c r="H409" s="8">
        <v>6.04</v>
      </c>
      <c r="I409" s="4">
        <v>0</v>
      </c>
    </row>
    <row r="410" spans="1:9" x14ac:dyDescent="0.15">
      <c r="A410" s="2">
        <v>10</v>
      </c>
      <c r="B410" s="1" t="s">
        <v>93</v>
      </c>
      <c r="C410" s="4">
        <v>23</v>
      </c>
      <c r="D410" s="8">
        <v>2.85</v>
      </c>
      <c r="E410" s="4">
        <v>21</v>
      </c>
      <c r="F410" s="8">
        <v>3.9</v>
      </c>
      <c r="G410" s="4">
        <v>2</v>
      </c>
      <c r="H410" s="8">
        <v>0.75</v>
      </c>
      <c r="I410" s="4">
        <v>0</v>
      </c>
    </row>
    <row r="411" spans="1:9" x14ac:dyDescent="0.15">
      <c r="A411" s="2">
        <v>11</v>
      </c>
      <c r="B411" s="1" t="s">
        <v>88</v>
      </c>
      <c r="C411" s="4">
        <v>21</v>
      </c>
      <c r="D411" s="8">
        <v>2.61</v>
      </c>
      <c r="E411" s="4">
        <v>12</v>
      </c>
      <c r="F411" s="8">
        <v>2.23</v>
      </c>
      <c r="G411" s="4">
        <v>9</v>
      </c>
      <c r="H411" s="8">
        <v>3.4</v>
      </c>
      <c r="I411" s="4">
        <v>0</v>
      </c>
    </row>
    <row r="412" spans="1:9" x14ac:dyDescent="0.15">
      <c r="A412" s="2">
        <v>12</v>
      </c>
      <c r="B412" s="1" t="s">
        <v>77</v>
      </c>
      <c r="C412" s="4">
        <v>20</v>
      </c>
      <c r="D412" s="8">
        <v>2.48</v>
      </c>
      <c r="E412" s="4">
        <v>7</v>
      </c>
      <c r="F412" s="8">
        <v>1.3</v>
      </c>
      <c r="G412" s="4">
        <v>13</v>
      </c>
      <c r="H412" s="8">
        <v>4.91</v>
      </c>
      <c r="I412" s="4">
        <v>0</v>
      </c>
    </row>
    <row r="413" spans="1:9" x14ac:dyDescent="0.15">
      <c r="A413" s="2">
        <v>12</v>
      </c>
      <c r="B413" s="1" t="s">
        <v>81</v>
      </c>
      <c r="C413" s="4">
        <v>20</v>
      </c>
      <c r="D413" s="8">
        <v>2.48</v>
      </c>
      <c r="E413" s="4">
        <v>16</v>
      </c>
      <c r="F413" s="8">
        <v>2.97</v>
      </c>
      <c r="G413" s="4">
        <v>4</v>
      </c>
      <c r="H413" s="8">
        <v>1.51</v>
      </c>
      <c r="I413" s="4">
        <v>0</v>
      </c>
    </row>
    <row r="414" spans="1:9" x14ac:dyDescent="0.15">
      <c r="A414" s="2">
        <v>14</v>
      </c>
      <c r="B414" s="1" t="s">
        <v>83</v>
      </c>
      <c r="C414" s="4">
        <v>18</v>
      </c>
      <c r="D414" s="8">
        <v>2.23</v>
      </c>
      <c r="E414" s="4">
        <v>10</v>
      </c>
      <c r="F414" s="8">
        <v>1.86</v>
      </c>
      <c r="G414" s="4">
        <v>8</v>
      </c>
      <c r="H414" s="8">
        <v>3.02</v>
      </c>
      <c r="I414" s="4">
        <v>0</v>
      </c>
    </row>
    <row r="415" spans="1:9" x14ac:dyDescent="0.15">
      <c r="A415" s="2">
        <v>15</v>
      </c>
      <c r="B415" s="1" t="s">
        <v>78</v>
      </c>
      <c r="C415" s="4">
        <v>13</v>
      </c>
      <c r="D415" s="8">
        <v>1.61</v>
      </c>
      <c r="E415" s="4">
        <v>7</v>
      </c>
      <c r="F415" s="8">
        <v>1.3</v>
      </c>
      <c r="G415" s="4">
        <v>6</v>
      </c>
      <c r="H415" s="8">
        <v>2.2599999999999998</v>
      </c>
      <c r="I415" s="4">
        <v>0</v>
      </c>
    </row>
    <row r="416" spans="1:9" x14ac:dyDescent="0.15">
      <c r="A416" s="2">
        <v>15</v>
      </c>
      <c r="B416" s="1" t="s">
        <v>87</v>
      </c>
      <c r="C416" s="4">
        <v>13</v>
      </c>
      <c r="D416" s="8">
        <v>1.61</v>
      </c>
      <c r="E416" s="4">
        <v>13</v>
      </c>
      <c r="F416" s="8">
        <v>2.41</v>
      </c>
      <c r="G416" s="4">
        <v>0</v>
      </c>
      <c r="H416" s="8">
        <v>0</v>
      </c>
      <c r="I416" s="4">
        <v>0</v>
      </c>
    </row>
    <row r="417" spans="1:9" x14ac:dyDescent="0.15">
      <c r="A417" s="2">
        <v>17</v>
      </c>
      <c r="B417" s="1" t="s">
        <v>106</v>
      </c>
      <c r="C417" s="4">
        <v>12</v>
      </c>
      <c r="D417" s="8">
        <v>1.49</v>
      </c>
      <c r="E417" s="4">
        <v>12</v>
      </c>
      <c r="F417" s="8">
        <v>2.23</v>
      </c>
      <c r="G417" s="4">
        <v>0</v>
      </c>
      <c r="H417" s="8">
        <v>0</v>
      </c>
      <c r="I417" s="4">
        <v>0</v>
      </c>
    </row>
    <row r="418" spans="1:9" x14ac:dyDescent="0.15">
      <c r="A418" s="2">
        <v>18</v>
      </c>
      <c r="B418" s="1" t="s">
        <v>91</v>
      </c>
      <c r="C418" s="4">
        <v>11</v>
      </c>
      <c r="D418" s="8">
        <v>1.36</v>
      </c>
      <c r="E418" s="4">
        <v>5</v>
      </c>
      <c r="F418" s="8">
        <v>0.93</v>
      </c>
      <c r="G418" s="4">
        <v>6</v>
      </c>
      <c r="H418" s="8">
        <v>2.2599999999999998</v>
      </c>
      <c r="I418" s="4">
        <v>0</v>
      </c>
    </row>
    <row r="419" spans="1:9" x14ac:dyDescent="0.15">
      <c r="A419" s="2">
        <v>19</v>
      </c>
      <c r="B419" s="1" t="s">
        <v>109</v>
      </c>
      <c r="C419" s="4">
        <v>9</v>
      </c>
      <c r="D419" s="8">
        <v>1.1200000000000001</v>
      </c>
      <c r="E419" s="4">
        <v>5</v>
      </c>
      <c r="F419" s="8">
        <v>0.93</v>
      </c>
      <c r="G419" s="4">
        <v>3</v>
      </c>
      <c r="H419" s="8">
        <v>1.1299999999999999</v>
      </c>
      <c r="I419" s="4">
        <v>1</v>
      </c>
    </row>
    <row r="420" spans="1:9" x14ac:dyDescent="0.15">
      <c r="A420" s="2">
        <v>20</v>
      </c>
      <c r="B420" s="1" t="s">
        <v>107</v>
      </c>
      <c r="C420" s="4">
        <v>8</v>
      </c>
      <c r="D420" s="8">
        <v>0.99</v>
      </c>
      <c r="E420" s="4">
        <v>4</v>
      </c>
      <c r="F420" s="8">
        <v>0.74</v>
      </c>
      <c r="G420" s="4">
        <v>4</v>
      </c>
      <c r="H420" s="8">
        <v>1.51</v>
      </c>
      <c r="I420" s="4">
        <v>0</v>
      </c>
    </row>
    <row r="421" spans="1:9" x14ac:dyDescent="0.15">
      <c r="A421" s="1"/>
      <c r="C421" s="4"/>
      <c r="D421" s="8"/>
      <c r="E421" s="4"/>
      <c r="F421" s="8"/>
      <c r="G421" s="4"/>
      <c r="H421" s="8"/>
      <c r="I421" s="4"/>
    </row>
    <row r="422" spans="1:9" x14ac:dyDescent="0.15">
      <c r="A422" s="1" t="s">
        <v>19</v>
      </c>
      <c r="C422" s="4"/>
      <c r="D422" s="8"/>
      <c r="E422" s="4"/>
      <c r="F422" s="8"/>
      <c r="G422" s="4"/>
      <c r="H422" s="8"/>
      <c r="I422" s="4"/>
    </row>
    <row r="423" spans="1:9" x14ac:dyDescent="0.15">
      <c r="A423" s="2">
        <v>1</v>
      </c>
      <c r="B423" s="1" t="s">
        <v>89</v>
      </c>
      <c r="C423" s="4">
        <v>470</v>
      </c>
      <c r="D423" s="8">
        <v>14.38</v>
      </c>
      <c r="E423" s="4">
        <v>437</v>
      </c>
      <c r="F423" s="8">
        <v>18.12</v>
      </c>
      <c r="G423" s="4">
        <v>31</v>
      </c>
      <c r="H423" s="8">
        <v>3.69</v>
      </c>
      <c r="I423" s="4">
        <v>2</v>
      </c>
    </row>
    <row r="424" spans="1:9" x14ac:dyDescent="0.15">
      <c r="A424" s="2">
        <v>2</v>
      </c>
      <c r="B424" s="1" t="s">
        <v>84</v>
      </c>
      <c r="C424" s="4">
        <v>276</v>
      </c>
      <c r="D424" s="8">
        <v>8.44</v>
      </c>
      <c r="E424" s="4">
        <v>181</v>
      </c>
      <c r="F424" s="8">
        <v>7.5</v>
      </c>
      <c r="G424" s="4">
        <v>95</v>
      </c>
      <c r="H424" s="8">
        <v>11.31</v>
      </c>
      <c r="I424" s="4">
        <v>0</v>
      </c>
    </row>
    <row r="425" spans="1:9" x14ac:dyDescent="0.15">
      <c r="A425" s="2">
        <v>3</v>
      </c>
      <c r="B425" s="1" t="s">
        <v>90</v>
      </c>
      <c r="C425" s="4">
        <v>262</v>
      </c>
      <c r="D425" s="8">
        <v>8.01</v>
      </c>
      <c r="E425" s="4">
        <v>242</v>
      </c>
      <c r="F425" s="8">
        <v>10.029999999999999</v>
      </c>
      <c r="G425" s="4">
        <v>20</v>
      </c>
      <c r="H425" s="8">
        <v>2.38</v>
      </c>
      <c r="I425" s="4">
        <v>0</v>
      </c>
    </row>
    <row r="426" spans="1:9" x14ac:dyDescent="0.15">
      <c r="A426" s="2">
        <v>4</v>
      </c>
      <c r="B426" s="1" t="s">
        <v>74</v>
      </c>
      <c r="C426" s="4">
        <v>210</v>
      </c>
      <c r="D426" s="8">
        <v>6.42</v>
      </c>
      <c r="E426" s="4">
        <v>107</v>
      </c>
      <c r="F426" s="8">
        <v>4.4400000000000004</v>
      </c>
      <c r="G426" s="4">
        <v>103</v>
      </c>
      <c r="H426" s="8">
        <v>12.26</v>
      </c>
      <c r="I426" s="4">
        <v>0</v>
      </c>
    </row>
    <row r="427" spans="1:9" x14ac:dyDescent="0.15">
      <c r="A427" s="2">
        <v>5</v>
      </c>
      <c r="B427" s="1" t="s">
        <v>82</v>
      </c>
      <c r="C427" s="4">
        <v>193</v>
      </c>
      <c r="D427" s="8">
        <v>5.9</v>
      </c>
      <c r="E427" s="4">
        <v>146</v>
      </c>
      <c r="F427" s="8">
        <v>6.05</v>
      </c>
      <c r="G427" s="4">
        <v>46</v>
      </c>
      <c r="H427" s="8">
        <v>5.48</v>
      </c>
      <c r="I427" s="4">
        <v>1</v>
      </c>
    </row>
    <row r="428" spans="1:9" x14ac:dyDescent="0.15">
      <c r="A428" s="2">
        <v>6</v>
      </c>
      <c r="B428" s="1" t="s">
        <v>108</v>
      </c>
      <c r="C428" s="4">
        <v>151</v>
      </c>
      <c r="D428" s="8">
        <v>4.62</v>
      </c>
      <c r="E428" s="4">
        <v>140</v>
      </c>
      <c r="F428" s="8">
        <v>5.8</v>
      </c>
      <c r="G428" s="4">
        <v>11</v>
      </c>
      <c r="H428" s="8">
        <v>1.31</v>
      </c>
      <c r="I428" s="4">
        <v>0</v>
      </c>
    </row>
    <row r="429" spans="1:9" x14ac:dyDescent="0.15">
      <c r="A429" s="2">
        <v>7</v>
      </c>
      <c r="B429" s="1" t="s">
        <v>75</v>
      </c>
      <c r="C429" s="4">
        <v>136</v>
      </c>
      <c r="D429" s="8">
        <v>4.16</v>
      </c>
      <c r="E429" s="4">
        <v>110</v>
      </c>
      <c r="F429" s="8">
        <v>4.5599999999999996</v>
      </c>
      <c r="G429" s="4">
        <v>26</v>
      </c>
      <c r="H429" s="8">
        <v>3.1</v>
      </c>
      <c r="I429" s="4">
        <v>0</v>
      </c>
    </row>
    <row r="430" spans="1:9" x14ac:dyDescent="0.15">
      <c r="A430" s="2">
        <v>7</v>
      </c>
      <c r="B430" s="1" t="s">
        <v>86</v>
      </c>
      <c r="C430" s="4">
        <v>136</v>
      </c>
      <c r="D430" s="8">
        <v>4.16</v>
      </c>
      <c r="E430" s="4">
        <v>100</v>
      </c>
      <c r="F430" s="8">
        <v>4.1500000000000004</v>
      </c>
      <c r="G430" s="4">
        <v>36</v>
      </c>
      <c r="H430" s="8">
        <v>4.29</v>
      </c>
      <c r="I430" s="4">
        <v>0</v>
      </c>
    </row>
    <row r="431" spans="1:9" x14ac:dyDescent="0.15">
      <c r="A431" s="2">
        <v>9</v>
      </c>
      <c r="B431" s="1" t="s">
        <v>100</v>
      </c>
      <c r="C431" s="4">
        <v>121</v>
      </c>
      <c r="D431" s="8">
        <v>3.7</v>
      </c>
      <c r="E431" s="4">
        <v>95</v>
      </c>
      <c r="F431" s="8">
        <v>3.94</v>
      </c>
      <c r="G431" s="4">
        <v>26</v>
      </c>
      <c r="H431" s="8">
        <v>3.1</v>
      </c>
      <c r="I431" s="4">
        <v>0</v>
      </c>
    </row>
    <row r="432" spans="1:9" x14ac:dyDescent="0.15">
      <c r="A432" s="2">
        <v>10</v>
      </c>
      <c r="B432" s="1" t="s">
        <v>81</v>
      </c>
      <c r="C432" s="4">
        <v>107</v>
      </c>
      <c r="D432" s="8">
        <v>3.27</v>
      </c>
      <c r="E432" s="4">
        <v>72</v>
      </c>
      <c r="F432" s="8">
        <v>2.99</v>
      </c>
      <c r="G432" s="4">
        <v>35</v>
      </c>
      <c r="H432" s="8">
        <v>4.17</v>
      </c>
      <c r="I432" s="4">
        <v>0</v>
      </c>
    </row>
    <row r="433" spans="1:9" x14ac:dyDescent="0.15">
      <c r="A433" s="2">
        <v>11</v>
      </c>
      <c r="B433" s="1" t="s">
        <v>92</v>
      </c>
      <c r="C433" s="4">
        <v>105</v>
      </c>
      <c r="D433" s="8">
        <v>3.21</v>
      </c>
      <c r="E433" s="4">
        <v>90</v>
      </c>
      <c r="F433" s="8">
        <v>3.73</v>
      </c>
      <c r="G433" s="4">
        <v>12</v>
      </c>
      <c r="H433" s="8">
        <v>1.43</v>
      </c>
      <c r="I433" s="4">
        <v>3</v>
      </c>
    </row>
    <row r="434" spans="1:9" x14ac:dyDescent="0.15">
      <c r="A434" s="2">
        <v>12</v>
      </c>
      <c r="B434" s="1" t="s">
        <v>83</v>
      </c>
      <c r="C434" s="4">
        <v>101</v>
      </c>
      <c r="D434" s="8">
        <v>3.09</v>
      </c>
      <c r="E434" s="4">
        <v>73</v>
      </c>
      <c r="F434" s="8">
        <v>3.03</v>
      </c>
      <c r="G434" s="4">
        <v>28</v>
      </c>
      <c r="H434" s="8">
        <v>3.33</v>
      </c>
      <c r="I434" s="4">
        <v>0</v>
      </c>
    </row>
    <row r="435" spans="1:9" x14ac:dyDescent="0.15">
      <c r="A435" s="2">
        <v>13</v>
      </c>
      <c r="B435" s="1" t="s">
        <v>76</v>
      </c>
      <c r="C435" s="4">
        <v>100</v>
      </c>
      <c r="D435" s="8">
        <v>3.06</v>
      </c>
      <c r="E435" s="4">
        <v>70</v>
      </c>
      <c r="F435" s="8">
        <v>2.9</v>
      </c>
      <c r="G435" s="4">
        <v>30</v>
      </c>
      <c r="H435" s="8">
        <v>3.57</v>
      </c>
      <c r="I435" s="4">
        <v>0</v>
      </c>
    </row>
    <row r="436" spans="1:9" x14ac:dyDescent="0.15">
      <c r="A436" s="2">
        <v>14</v>
      </c>
      <c r="B436" s="1" t="s">
        <v>93</v>
      </c>
      <c r="C436" s="4">
        <v>72</v>
      </c>
      <c r="D436" s="8">
        <v>2.2000000000000002</v>
      </c>
      <c r="E436" s="4">
        <v>68</v>
      </c>
      <c r="F436" s="8">
        <v>2.82</v>
      </c>
      <c r="G436" s="4">
        <v>4</v>
      </c>
      <c r="H436" s="8">
        <v>0.48</v>
      </c>
      <c r="I436" s="4">
        <v>0</v>
      </c>
    </row>
    <row r="437" spans="1:9" x14ac:dyDescent="0.15">
      <c r="A437" s="2">
        <v>15</v>
      </c>
      <c r="B437" s="1" t="s">
        <v>88</v>
      </c>
      <c r="C437" s="4">
        <v>63</v>
      </c>
      <c r="D437" s="8">
        <v>1.93</v>
      </c>
      <c r="E437" s="4">
        <v>39</v>
      </c>
      <c r="F437" s="8">
        <v>1.62</v>
      </c>
      <c r="G437" s="4">
        <v>24</v>
      </c>
      <c r="H437" s="8">
        <v>2.86</v>
      </c>
      <c r="I437" s="4">
        <v>0</v>
      </c>
    </row>
    <row r="438" spans="1:9" x14ac:dyDescent="0.15">
      <c r="A438" s="2">
        <v>16</v>
      </c>
      <c r="B438" s="1" t="s">
        <v>87</v>
      </c>
      <c r="C438" s="4">
        <v>56</v>
      </c>
      <c r="D438" s="8">
        <v>1.71</v>
      </c>
      <c r="E438" s="4">
        <v>49</v>
      </c>
      <c r="F438" s="8">
        <v>2.0299999999999998</v>
      </c>
      <c r="G438" s="4">
        <v>7</v>
      </c>
      <c r="H438" s="8">
        <v>0.83</v>
      </c>
      <c r="I438" s="4">
        <v>0</v>
      </c>
    </row>
    <row r="439" spans="1:9" x14ac:dyDescent="0.15">
      <c r="A439" s="2">
        <v>17</v>
      </c>
      <c r="B439" s="1" t="s">
        <v>110</v>
      </c>
      <c r="C439" s="4">
        <v>55</v>
      </c>
      <c r="D439" s="8">
        <v>1.68</v>
      </c>
      <c r="E439" s="4">
        <v>52</v>
      </c>
      <c r="F439" s="8">
        <v>2.16</v>
      </c>
      <c r="G439" s="4">
        <v>3</v>
      </c>
      <c r="H439" s="8">
        <v>0.36</v>
      </c>
      <c r="I439" s="4">
        <v>0</v>
      </c>
    </row>
    <row r="440" spans="1:9" x14ac:dyDescent="0.15">
      <c r="A440" s="2">
        <v>18</v>
      </c>
      <c r="B440" s="1" t="s">
        <v>107</v>
      </c>
      <c r="C440" s="4">
        <v>36</v>
      </c>
      <c r="D440" s="8">
        <v>1.1000000000000001</v>
      </c>
      <c r="E440" s="4">
        <v>21</v>
      </c>
      <c r="F440" s="8">
        <v>0.87</v>
      </c>
      <c r="G440" s="4">
        <v>14</v>
      </c>
      <c r="H440" s="8">
        <v>1.67</v>
      </c>
      <c r="I440" s="4">
        <v>1</v>
      </c>
    </row>
    <row r="441" spans="1:9" x14ac:dyDescent="0.15">
      <c r="A441" s="2">
        <v>19</v>
      </c>
      <c r="B441" s="1" t="s">
        <v>78</v>
      </c>
      <c r="C441" s="4">
        <v>28</v>
      </c>
      <c r="D441" s="8">
        <v>0.86</v>
      </c>
      <c r="E441" s="4">
        <v>9</v>
      </c>
      <c r="F441" s="8">
        <v>0.37</v>
      </c>
      <c r="G441" s="4">
        <v>19</v>
      </c>
      <c r="H441" s="8">
        <v>2.2599999999999998</v>
      </c>
      <c r="I441" s="4">
        <v>0</v>
      </c>
    </row>
    <row r="442" spans="1:9" x14ac:dyDescent="0.15">
      <c r="A442" s="2">
        <v>19</v>
      </c>
      <c r="B442" s="1" t="s">
        <v>80</v>
      </c>
      <c r="C442" s="4">
        <v>28</v>
      </c>
      <c r="D442" s="8">
        <v>0.86</v>
      </c>
      <c r="E442" s="4">
        <v>16</v>
      </c>
      <c r="F442" s="8">
        <v>0.66</v>
      </c>
      <c r="G442" s="4">
        <v>12</v>
      </c>
      <c r="H442" s="8">
        <v>1.43</v>
      </c>
      <c r="I442" s="4">
        <v>0</v>
      </c>
    </row>
    <row r="443" spans="1:9" x14ac:dyDescent="0.15">
      <c r="A443" s="2">
        <v>19</v>
      </c>
      <c r="B443" s="1" t="s">
        <v>106</v>
      </c>
      <c r="C443" s="4">
        <v>28</v>
      </c>
      <c r="D443" s="8">
        <v>0.86</v>
      </c>
      <c r="E443" s="4">
        <v>22</v>
      </c>
      <c r="F443" s="8">
        <v>0.91</v>
      </c>
      <c r="G443" s="4">
        <v>6</v>
      </c>
      <c r="H443" s="8">
        <v>0.71</v>
      </c>
      <c r="I443" s="4">
        <v>0</v>
      </c>
    </row>
    <row r="444" spans="1:9" x14ac:dyDescent="0.15">
      <c r="A444" s="1"/>
      <c r="C444" s="4"/>
      <c r="D444" s="8"/>
      <c r="E444" s="4"/>
      <c r="F444" s="8"/>
      <c r="G444" s="4"/>
      <c r="H444" s="8"/>
      <c r="I444" s="4"/>
    </row>
    <row r="445" spans="1:9" x14ac:dyDescent="0.15">
      <c r="A445" s="1" t="s">
        <v>20</v>
      </c>
      <c r="C445" s="4"/>
      <c r="D445" s="8"/>
      <c r="E445" s="4"/>
      <c r="F445" s="8"/>
      <c r="G445" s="4"/>
      <c r="H445" s="8"/>
      <c r="I445" s="4"/>
    </row>
    <row r="446" spans="1:9" x14ac:dyDescent="0.15">
      <c r="A446" s="2">
        <v>1</v>
      </c>
      <c r="B446" s="1" t="s">
        <v>89</v>
      </c>
      <c r="C446" s="4">
        <v>631</v>
      </c>
      <c r="D446" s="8">
        <v>13.21</v>
      </c>
      <c r="E446" s="4">
        <v>596</v>
      </c>
      <c r="F446" s="8">
        <v>20.41</v>
      </c>
      <c r="G446" s="4">
        <v>34</v>
      </c>
      <c r="H446" s="8">
        <v>1.84</v>
      </c>
      <c r="I446" s="4">
        <v>1</v>
      </c>
    </row>
    <row r="447" spans="1:9" x14ac:dyDescent="0.15">
      <c r="A447" s="2">
        <v>2</v>
      </c>
      <c r="B447" s="1" t="s">
        <v>90</v>
      </c>
      <c r="C447" s="4">
        <v>563</v>
      </c>
      <c r="D447" s="8">
        <v>11.78</v>
      </c>
      <c r="E447" s="4">
        <v>479</v>
      </c>
      <c r="F447" s="8">
        <v>16.399999999999999</v>
      </c>
      <c r="G447" s="4">
        <v>84</v>
      </c>
      <c r="H447" s="8">
        <v>4.55</v>
      </c>
      <c r="I447" s="4">
        <v>0</v>
      </c>
    </row>
    <row r="448" spans="1:9" x14ac:dyDescent="0.15">
      <c r="A448" s="2">
        <v>3</v>
      </c>
      <c r="B448" s="1" t="s">
        <v>86</v>
      </c>
      <c r="C448" s="4">
        <v>381</v>
      </c>
      <c r="D448" s="8">
        <v>7.97</v>
      </c>
      <c r="E448" s="4">
        <v>259</v>
      </c>
      <c r="F448" s="8">
        <v>8.8699999999999992</v>
      </c>
      <c r="G448" s="4">
        <v>122</v>
      </c>
      <c r="H448" s="8">
        <v>6.61</v>
      </c>
      <c r="I448" s="4">
        <v>0</v>
      </c>
    </row>
    <row r="449" spans="1:9" x14ac:dyDescent="0.15">
      <c r="A449" s="2">
        <v>4</v>
      </c>
      <c r="B449" s="1" t="s">
        <v>84</v>
      </c>
      <c r="C449" s="4">
        <v>311</v>
      </c>
      <c r="D449" s="8">
        <v>6.51</v>
      </c>
      <c r="E449" s="4">
        <v>163</v>
      </c>
      <c r="F449" s="8">
        <v>5.58</v>
      </c>
      <c r="G449" s="4">
        <v>148</v>
      </c>
      <c r="H449" s="8">
        <v>8.02</v>
      </c>
      <c r="I449" s="4">
        <v>0</v>
      </c>
    </row>
    <row r="450" spans="1:9" x14ac:dyDescent="0.15">
      <c r="A450" s="2">
        <v>5</v>
      </c>
      <c r="B450" s="1" t="s">
        <v>74</v>
      </c>
      <c r="C450" s="4">
        <v>282</v>
      </c>
      <c r="D450" s="8">
        <v>5.9</v>
      </c>
      <c r="E450" s="4">
        <v>82</v>
      </c>
      <c r="F450" s="8">
        <v>2.81</v>
      </c>
      <c r="G450" s="4">
        <v>200</v>
      </c>
      <c r="H450" s="8">
        <v>10.83</v>
      </c>
      <c r="I450" s="4">
        <v>0</v>
      </c>
    </row>
    <row r="451" spans="1:9" x14ac:dyDescent="0.15">
      <c r="A451" s="2">
        <v>6</v>
      </c>
      <c r="B451" s="1" t="s">
        <v>92</v>
      </c>
      <c r="C451" s="4">
        <v>248</v>
      </c>
      <c r="D451" s="8">
        <v>5.19</v>
      </c>
      <c r="E451" s="4">
        <v>206</v>
      </c>
      <c r="F451" s="8">
        <v>7.05</v>
      </c>
      <c r="G451" s="4">
        <v>42</v>
      </c>
      <c r="H451" s="8">
        <v>2.2799999999999998</v>
      </c>
      <c r="I451" s="4">
        <v>0</v>
      </c>
    </row>
    <row r="452" spans="1:9" x14ac:dyDescent="0.15">
      <c r="A452" s="2">
        <v>7</v>
      </c>
      <c r="B452" s="1" t="s">
        <v>82</v>
      </c>
      <c r="C452" s="4">
        <v>188</v>
      </c>
      <c r="D452" s="8">
        <v>3.93</v>
      </c>
      <c r="E452" s="4">
        <v>137</v>
      </c>
      <c r="F452" s="8">
        <v>4.6900000000000004</v>
      </c>
      <c r="G452" s="4">
        <v>49</v>
      </c>
      <c r="H452" s="8">
        <v>2.65</v>
      </c>
      <c r="I452" s="4">
        <v>2</v>
      </c>
    </row>
    <row r="453" spans="1:9" x14ac:dyDescent="0.15">
      <c r="A453" s="2">
        <v>8</v>
      </c>
      <c r="B453" s="1" t="s">
        <v>83</v>
      </c>
      <c r="C453" s="4">
        <v>181</v>
      </c>
      <c r="D453" s="8">
        <v>3.79</v>
      </c>
      <c r="E453" s="4">
        <v>117</v>
      </c>
      <c r="F453" s="8">
        <v>4.01</v>
      </c>
      <c r="G453" s="4">
        <v>64</v>
      </c>
      <c r="H453" s="8">
        <v>3.47</v>
      </c>
      <c r="I453" s="4">
        <v>0</v>
      </c>
    </row>
    <row r="454" spans="1:9" x14ac:dyDescent="0.15">
      <c r="A454" s="2">
        <v>9</v>
      </c>
      <c r="B454" s="1" t="s">
        <v>76</v>
      </c>
      <c r="C454" s="4">
        <v>172</v>
      </c>
      <c r="D454" s="8">
        <v>3.6</v>
      </c>
      <c r="E454" s="4">
        <v>54</v>
      </c>
      <c r="F454" s="8">
        <v>1.85</v>
      </c>
      <c r="G454" s="4">
        <v>118</v>
      </c>
      <c r="H454" s="8">
        <v>6.39</v>
      </c>
      <c r="I454" s="4">
        <v>0</v>
      </c>
    </row>
    <row r="455" spans="1:9" x14ac:dyDescent="0.15">
      <c r="A455" s="2">
        <v>10</v>
      </c>
      <c r="B455" s="1" t="s">
        <v>75</v>
      </c>
      <c r="C455" s="4">
        <v>166</v>
      </c>
      <c r="D455" s="8">
        <v>3.47</v>
      </c>
      <c r="E455" s="4">
        <v>79</v>
      </c>
      <c r="F455" s="8">
        <v>2.71</v>
      </c>
      <c r="G455" s="4">
        <v>87</v>
      </c>
      <c r="H455" s="8">
        <v>4.71</v>
      </c>
      <c r="I455" s="4">
        <v>0</v>
      </c>
    </row>
    <row r="456" spans="1:9" x14ac:dyDescent="0.15">
      <c r="A456" s="2">
        <v>11</v>
      </c>
      <c r="B456" s="1" t="s">
        <v>81</v>
      </c>
      <c r="C456" s="4">
        <v>150</v>
      </c>
      <c r="D456" s="8">
        <v>3.14</v>
      </c>
      <c r="E456" s="4">
        <v>68</v>
      </c>
      <c r="F456" s="8">
        <v>2.33</v>
      </c>
      <c r="G456" s="4">
        <v>82</v>
      </c>
      <c r="H456" s="8">
        <v>4.4400000000000004</v>
      </c>
      <c r="I456" s="4">
        <v>0</v>
      </c>
    </row>
    <row r="457" spans="1:9" x14ac:dyDescent="0.15">
      <c r="A457" s="2">
        <v>12</v>
      </c>
      <c r="B457" s="1" t="s">
        <v>93</v>
      </c>
      <c r="C457" s="4">
        <v>141</v>
      </c>
      <c r="D457" s="8">
        <v>2.95</v>
      </c>
      <c r="E457" s="4">
        <v>131</v>
      </c>
      <c r="F457" s="8">
        <v>4.49</v>
      </c>
      <c r="G457" s="4">
        <v>10</v>
      </c>
      <c r="H457" s="8">
        <v>0.54</v>
      </c>
      <c r="I457" s="4">
        <v>0</v>
      </c>
    </row>
    <row r="458" spans="1:9" x14ac:dyDescent="0.15">
      <c r="A458" s="2">
        <v>13</v>
      </c>
      <c r="B458" s="1" t="s">
        <v>87</v>
      </c>
      <c r="C458" s="4">
        <v>113</v>
      </c>
      <c r="D458" s="8">
        <v>2.37</v>
      </c>
      <c r="E458" s="4">
        <v>91</v>
      </c>
      <c r="F458" s="8">
        <v>3.12</v>
      </c>
      <c r="G458" s="4">
        <v>22</v>
      </c>
      <c r="H458" s="8">
        <v>1.19</v>
      </c>
      <c r="I458" s="4">
        <v>0</v>
      </c>
    </row>
    <row r="459" spans="1:9" x14ac:dyDescent="0.15">
      <c r="A459" s="2">
        <v>14</v>
      </c>
      <c r="B459" s="1" t="s">
        <v>85</v>
      </c>
      <c r="C459" s="4">
        <v>97</v>
      </c>
      <c r="D459" s="8">
        <v>2.0299999999999998</v>
      </c>
      <c r="E459" s="4">
        <v>22</v>
      </c>
      <c r="F459" s="8">
        <v>0.75</v>
      </c>
      <c r="G459" s="4">
        <v>75</v>
      </c>
      <c r="H459" s="8">
        <v>4.0599999999999996</v>
      </c>
      <c r="I459" s="4">
        <v>0</v>
      </c>
    </row>
    <row r="460" spans="1:9" x14ac:dyDescent="0.15">
      <c r="A460" s="2">
        <v>15</v>
      </c>
      <c r="B460" s="1" t="s">
        <v>88</v>
      </c>
      <c r="C460" s="4">
        <v>85</v>
      </c>
      <c r="D460" s="8">
        <v>1.78</v>
      </c>
      <c r="E460" s="4">
        <v>39</v>
      </c>
      <c r="F460" s="8">
        <v>1.34</v>
      </c>
      <c r="G460" s="4">
        <v>46</v>
      </c>
      <c r="H460" s="8">
        <v>2.4900000000000002</v>
      </c>
      <c r="I460" s="4">
        <v>0</v>
      </c>
    </row>
    <row r="461" spans="1:9" x14ac:dyDescent="0.15">
      <c r="A461" s="2">
        <v>16</v>
      </c>
      <c r="B461" s="1" t="s">
        <v>91</v>
      </c>
      <c r="C461" s="4">
        <v>74</v>
      </c>
      <c r="D461" s="8">
        <v>1.55</v>
      </c>
      <c r="E461" s="4">
        <v>45</v>
      </c>
      <c r="F461" s="8">
        <v>1.54</v>
      </c>
      <c r="G461" s="4">
        <v>28</v>
      </c>
      <c r="H461" s="8">
        <v>1.52</v>
      </c>
      <c r="I461" s="4">
        <v>1</v>
      </c>
    </row>
    <row r="462" spans="1:9" x14ac:dyDescent="0.15">
      <c r="A462" s="2">
        <v>17</v>
      </c>
      <c r="B462" s="1" t="s">
        <v>78</v>
      </c>
      <c r="C462" s="4">
        <v>71</v>
      </c>
      <c r="D462" s="8">
        <v>1.49</v>
      </c>
      <c r="E462" s="4">
        <v>15</v>
      </c>
      <c r="F462" s="8">
        <v>0.51</v>
      </c>
      <c r="G462" s="4">
        <v>56</v>
      </c>
      <c r="H462" s="8">
        <v>3.03</v>
      </c>
      <c r="I462" s="4">
        <v>0</v>
      </c>
    </row>
    <row r="463" spans="1:9" x14ac:dyDescent="0.15">
      <c r="A463" s="2">
        <v>18</v>
      </c>
      <c r="B463" s="1" t="s">
        <v>110</v>
      </c>
      <c r="C463" s="4">
        <v>54</v>
      </c>
      <c r="D463" s="8">
        <v>1.1299999999999999</v>
      </c>
      <c r="E463" s="4">
        <v>37</v>
      </c>
      <c r="F463" s="8">
        <v>1.27</v>
      </c>
      <c r="G463" s="4">
        <v>17</v>
      </c>
      <c r="H463" s="8">
        <v>0.92</v>
      </c>
      <c r="I463" s="4">
        <v>0</v>
      </c>
    </row>
    <row r="464" spans="1:9" x14ac:dyDescent="0.15">
      <c r="A464" s="2">
        <v>19</v>
      </c>
      <c r="B464" s="1" t="s">
        <v>79</v>
      </c>
      <c r="C464" s="4">
        <v>53</v>
      </c>
      <c r="D464" s="8">
        <v>1.1100000000000001</v>
      </c>
      <c r="E464" s="4">
        <v>14</v>
      </c>
      <c r="F464" s="8">
        <v>0.48</v>
      </c>
      <c r="G464" s="4">
        <v>39</v>
      </c>
      <c r="H464" s="8">
        <v>2.11</v>
      </c>
      <c r="I464" s="4">
        <v>0</v>
      </c>
    </row>
    <row r="465" spans="1:9" x14ac:dyDescent="0.15">
      <c r="A465" s="2">
        <v>20</v>
      </c>
      <c r="B465" s="1" t="s">
        <v>106</v>
      </c>
      <c r="C465" s="4">
        <v>51</v>
      </c>
      <c r="D465" s="8">
        <v>1.07</v>
      </c>
      <c r="E465" s="4">
        <v>39</v>
      </c>
      <c r="F465" s="8">
        <v>1.34</v>
      </c>
      <c r="G465" s="4">
        <v>12</v>
      </c>
      <c r="H465" s="8">
        <v>0.65</v>
      </c>
      <c r="I465" s="4">
        <v>0</v>
      </c>
    </row>
    <row r="466" spans="1:9" x14ac:dyDescent="0.15">
      <c r="A466" s="1"/>
      <c r="C466" s="4"/>
      <c r="D466" s="8"/>
      <c r="E466" s="4"/>
      <c r="F466" s="8"/>
      <c r="G466" s="4"/>
      <c r="H466" s="8"/>
      <c r="I466" s="4"/>
    </row>
    <row r="467" spans="1:9" x14ac:dyDescent="0.15">
      <c r="A467" s="1" t="s">
        <v>21</v>
      </c>
      <c r="C467" s="4"/>
      <c r="D467" s="8"/>
      <c r="E467" s="4"/>
      <c r="F467" s="8"/>
      <c r="G467" s="4"/>
      <c r="H467" s="8"/>
      <c r="I467" s="4"/>
    </row>
    <row r="468" spans="1:9" x14ac:dyDescent="0.15">
      <c r="A468" s="2">
        <v>1</v>
      </c>
      <c r="B468" s="1" t="s">
        <v>89</v>
      </c>
      <c r="C468" s="4">
        <v>125</v>
      </c>
      <c r="D468" s="8">
        <v>12.07</v>
      </c>
      <c r="E468" s="4">
        <v>113</v>
      </c>
      <c r="F468" s="8">
        <v>17.38</v>
      </c>
      <c r="G468" s="4">
        <v>10</v>
      </c>
      <c r="H468" s="8">
        <v>2.6</v>
      </c>
      <c r="I468" s="4">
        <v>2</v>
      </c>
    </row>
    <row r="469" spans="1:9" x14ac:dyDescent="0.15">
      <c r="A469" s="2">
        <v>1</v>
      </c>
      <c r="B469" s="1" t="s">
        <v>90</v>
      </c>
      <c r="C469" s="4">
        <v>125</v>
      </c>
      <c r="D469" s="8">
        <v>12.07</v>
      </c>
      <c r="E469" s="4">
        <v>114</v>
      </c>
      <c r="F469" s="8">
        <v>17.54</v>
      </c>
      <c r="G469" s="4">
        <v>11</v>
      </c>
      <c r="H469" s="8">
        <v>2.86</v>
      </c>
      <c r="I469" s="4">
        <v>0</v>
      </c>
    </row>
    <row r="470" spans="1:9" x14ac:dyDescent="0.15">
      <c r="A470" s="2">
        <v>3</v>
      </c>
      <c r="B470" s="1" t="s">
        <v>84</v>
      </c>
      <c r="C470" s="4">
        <v>110</v>
      </c>
      <c r="D470" s="8">
        <v>10.62</v>
      </c>
      <c r="E470" s="4">
        <v>61</v>
      </c>
      <c r="F470" s="8">
        <v>9.3800000000000008</v>
      </c>
      <c r="G470" s="4">
        <v>49</v>
      </c>
      <c r="H470" s="8">
        <v>12.76</v>
      </c>
      <c r="I470" s="4">
        <v>0</v>
      </c>
    </row>
    <row r="471" spans="1:9" x14ac:dyDescent="0.15">
      <c r="A471" s="2">
        <v>4</v>
      </c>
      <c r="B471" s="1" t="s">
        <v>74</v>
      </c>
      <c r="C471" s="4">
        <v>68</v>
      </c>
      <c r="D471" s="8">
        <v>6.56</v>
      </c>
      <c r="E471" s="4">
        <v>21</v>
      </c>
      <c r="F471" s="8">
        <v>3.23</v>
      </c>
      <c r="G471" s="4">
        <v>47</v>
      </c>
      <c r="H471" s="8">
        <v>12.24</v>
      </c>
      <c r="I471" s="4">
        <v>0</v>
      </c>
    </row>
    <row r="472" spans="1:9" x14ac:dyDescent="0.15">
      <c r="A472" s="2">
        <v>5</v>
      </c>
      <c r="B472" s="1" t="s">
        <v>86</v>
      </c>
      <c r="C472" s="4">
        <v>64</v>
      </c>
      <c r="D472" s="8">
        <v>6.18</v>
      </c>
      <c r="E472" s="4">
        <v>43</v>
      </c>
      <c r="F472" s="8">
        <v>6.62</v>
      </c>
      <c r="G472" s="4">
        <v>21</v>
      </c>
      <c r="H472" s="8">
        <v>5.47</v>
      </c>
      <c r="I472" s="4">
        <v>0</v>
      </c>
    </row>
    <row r="473" spans="1:9" x14ac:dyDescent="0.15">
      <c r="A473" s="2">
        <v>6</v>
      </c>
      <c r="B473" s="1" t="s">
        <v>82</v>
      </c>
      <c r="C473" s="4">
        <v>55</v>
      </c>
      <c r="D473" s="8">
        <v>5.31</v>
      </c>
      <c r="E473" s="4">
        <v>44</v>
      </c>
      <c r="F473" s="8">
        <v>6.77</v>
      </c>
      <c r="G473" s="4">
        <v>11</v>
      </c>
      <c r="H473" s="8">
        <v>2.86</v>
      </c>
      <c r="I473" s="4">
        <v>0</v>
      </c>
    </row>
    <row r="474" spans="1:9" x14ac:dyDescent="0.15">
      <c r="A474" s="2">
        <v>7</v>
      </c>
      <c r="B474" s="1" t="s">
        <v>75</v>
      </c>
      <c r="C474" s="4">
        <v>44</v>
      </c>
      <c r="D474" s="8">
        <v>4.25</v>
      </c>
      <c r="E474" s="4">
        <v>23</v>
      </c>
      <c r="F474" s="8">
        <v>3.54</v>
      </c>
      <c r="G474" s="4">
        <v>21</v>
      </c>
      <c r="H474" s="8">
        <v>5.47</v>
      </c>
      <c r="I474" s="4">
        <v>0</v>
      </c>
    </row>
    <row r="475" spans="1:9" x14ac:dyDescent="0.15">
      <c r="A475" s="2">
        <v>8</v>
      </c>
      <c r="B475" s="1" t="s">
        <v>92</v>
      </c>
      <c r="C475" s="4">
        <v>42</v>
      </c>
      <c r="D475" s="8">
        <v>4.05</v>
      </c>
      <c r="E475" s="4">
        <v>32</v>
      </c>
      <c r="F475" s="8">
        <v>4.92</v>
      </c>
      <c r="G475" s="4">
        <v>10</v>
      </c>
      <c r="H475" s="8">
        <v>2.6</v>
      </c>
      <c r="I475" s="4">
        <v>0</v>
      </c>
    </row>
    <row r="476" spans="1:9" x14ac:dyDescent="0.15">
      <c r="A476" s="2">
        <v>9</v>
      </c>
      <c r="B476" s="1" t="s">
        <v>83</v>
      </c>
      <c r="C476" s="4">
        <v>40</v>
      </c>
      <c r="D476" s="8">
        <v>3.86</v>
      </c>
      <c r="E476" s="4">
        <v>25</v>
      </c>
      <c r="F476" s="8">
        <v>3.85</v>
      </c>
      <c r="G476" s="4">
        <v>15</v>
      </c>
      <c r="H476" s="8">
        <v>3.91</v>
      </c>
      <c r="I476" s="4">
        <v>0</v>
      </c>
    </row>
    <row r="477" spans="1:9" x14ac:dyDescent="0.15">
      <c r="A477" s="2">
        <v>10</v>
      </c>
      <c r="B477" s="1" t="s">
        <v>81</v>
      </c>
      <c r="C477" s="4">
        <v>37</v>
      </c>
      <c r="D477" s="8">
        <v>3.57</v>
      </c>
      <c r="E477" s="4">
        <v>21</v>
      </c>
      <c r="F477" s="8">
        <v>3.23</v>
      </c>
      <c r="G477" s="4">
        <v>16</v>
      </c>
      <c r="H477" s="8">
        <v>4.17</v>
      </c>
      <c r="I477" s="4">
        <v>0</v>
      </c>
    </row>
    <row r="478" spans="1:9" x14ac:dyDescent="0.15">
      <c r="A478" s="2">
        <v>11</v>
      </c>
      <c r="B478" s="1" t="s">
        <v>76</v>
      </c>
      <c r="C478" s="4">
        <v>34</v>
      </c>
      <c r="D478" s="8">
        <v>3.28</v>
      </c>
      <c r="E478" s="4">
        <v>12</v>
      </c>
      <c r="F478" s="8">
        <v>1.85</v>
      </c>
      <c r="G478" s="4">
        <v>22</v>
      </c>
      <c r="H478" s="8">
        <v>5.73</v>
      </c>
      <c r="I478" s="4">
        <v>0</v>
      </c>
    </row>
    <row r="479" spans="1:9" x14ac:dyDescent="0.15">
      <c r="A479" s="2">
        <v>12</v>
      </c>
      <c r="B479" s="1" t="s">
        <v>93</v>
      </c>
      <c r="C479" s="4">
        <v>30</v>
      </c>
      <c r="D479" s="8">
        <v>2.9</v>
      </c>
      <c r="E479" s="4">
        <v>27</v>
      </c>
      <c r="F479" s="8">
        <v>4.1500000000000004</v>
      </c>
      <c r="G479" s="4">
        <v>3</v>
      </c>
      <c r="H479" s="8">
        <v>0.78</v>
      </c>
      <c r="I479" s="4">
        <v>0</v>
      </c>
    </row>
    <row r="480" spans="1:9" x14ac:dyDescent="0.15">
      <c r="A480" s="2">
        <v>13</v>
      </c>
      <c r="B480" s="1" t="s">
        <v>88</v>
      </c>
      <c r="C480" s="4">
        <v>22</v>
      </c>
      <c r="D480" s="8">
        <v>2.12</v>
      </c>
      <c r="E480" s="4">
        <v>12</v>
      </c>
      <c r="F480" s="8">
        <v>1.85</v>
      </c>
      <c r="G480" s="4">
        <v>10</v>
      </c>
      <c r="H480" s="8">
        <v>2.6</v>
      </c>
      <c r="I480" s="4">
        <v>0</v>
      </c>
    </row>
    <row r="481" spans="1:9" x14ac:dyDescent="0.15">
      <c r="A481" s="2">
        <v>14</v>
      </c>
      <c r="B481" s="1" t="s">
        <v>79</v>
      </c>
      <c r="C481" s="4">
        <v>14</v>
      </c>
      <c r="D481" s="8">
        <v>1.35</v>
      </c>
      <c r="E481" s="4">
        <v>5</v>
      </c>
      <c r="F481" s="8">
        <v>0.77</v>
      </c>
      <c r="G481" s="4">
        <v>9</v>
      </c>
      <c r="H481" s="8">
        <v>2.34</v>
      </c>
      <c r="I481" s="4">
        <v>0</v>
      </c>
    </row>
    <row r="482" spans="1:9" x14ac:dyDescent="0.15">
      <c r="A482" s="2">
        <v>14</v>
      </c>
      <c r="B482" s="1" t="s">
        <v>91</v>
      </c>
      <c r="C482" s="4">
        <v>14</v>
      </c>
      <c r="D482" s="8">
        <v>1.35</v>
      </c>
      <c r="E482" s="4">
        <v>11</v>
      </c>
      <c r="F482" s="8">
        <v>1.69</v>
      </c>
      <c r="G482" s="4">
        <v>3</v>
      </c>
      <c r="H482" s="8">
        <v>0.78</v>
      </c>
      <c r="I482" s="4">
        <v>0</v>
      </c>
    </row>
    <row r="483" spans="1:9" x14ac:dyDescent="0.15">
      <c r="A483" s="2">
        <v>16</v>
      </c>
      <c r="B483" s="1" t="s">
        <v>78</v>
      </c>
      <c r="C483" s="4">
        <v>13</v>
      </c>
      <c r="D483" s="8">
        <v>1.25</v>
      </c>
      <c r="E483" s="4">
        <v>7</v>
      </c>
      <c r="F483" s="8">
        <v>1.08</v>
      </c>
      <c r="G483" s="4">
        <v>6</v>
      </c>
      <c r="H483" s="8">
        <v>1.56</v>
      </c>
      <c r="I483" s="4">
        <v>0</v>
      </c>
    </row>
    <row r="484" spans="1:9" x14ac:dyDescent="0.15">
      <c r="A484" s="2">
        <v>17</v>
      </c>
      <c r="B484" s="1" t="s">
        <v>87</v>
      </c>
      <c r="C484" s="4">
        <v>12</v>
      </c>
      <c r="D484" s="8">
        <v>1.1599999999999999</v>
      </c>
      <c r="E484" s="4">
        <v>12</v>
      </c>
      <c r="F484" s="8">
        <v>1.85</v>
      </c>
      <c r="G484" s="4">
        <v>0</v>
      </c>
      <c r="H484" s="8">
        <v>0</v>
      </c>
      <c r="I484" s="4">
        <v>0</v>
      </c>
    </row>
    <row r="485" spans="1:9" x14ac:dyDescent="0.15">
      <c r="A485" s="2">
        <v>18</v>
      </c>
      <c r="B485" s="1" t="s">
        <v>96</v>
      </c>
      <c r="C485" s="4">
        <v>11</v>
      </c>
      <c r="D485" s="8">
        <v>1.06</v>
      </c>
      <c r="E485" s="4">
        <v>5</v>
      </c>
      <c r="F485" s="8">
        <v>0.77</v>
      </c>
      <c r="G485" s="4">
        <v>6</v>
      </c>
      <c r="H485" s="8">
        <v>1.56</v>
      </c>
      <c r="I485" s="4">
        <v>0</v>
      </c>
    </row>
    <row r="486" spans="1:9" x14ac:dyDescent="0.15">
      <c r="A486" s="2">
        <v>18</v>
      </c>
      <c r="B486" s="1" t="s">
        <v>111</v>
      </c>
      <c r="C486" s="4">
        <v>11</v>
      </c>
      <c r="D486" s="8">
        <v>1.06</v>
      </c>
      <c r="E486" s="4">
        <v>0</v>
      </c>
      <c r="F486" s="8">
        <v>0</v>
      </c>
      <c r="G486" s="4">
        <v>11</v>
      </c>
      <c r="H486" s="8">
        <v>2.86</v>
      </c>
      <c r="I486" s="4">
        <v>0</v>
      </c>
    </row>
    <row r="487" spans="1:9" x14ac:dyDescent="0.15">
      <c r="A487" s="2">
        <v>18</v>
      </c>
      <c r="B487" s="1" t="s">
        <v>85</v>
      </c>
      <c r="C487" s="4">
        <v>11</v>
      </c>
      <c r="D487" s="8">
        <v>1.06</v>
      </c>
      <c r="E487" s="4">
        <v>4</v>
      </c>
      <c r="F487" s="8">
        <v>0.62</v>
      </c>
      <c r="G487" s="4">
        <v>7</v>
      </c>
      <c r="H487" s="8">
        <v>1.82</v>
      </c>
      <c r="I487" s="4">
        <v>0</v>
      </c>
    </row>
    <row r="488" spans="1:9" x14ac:dyDescent="0.15">
      <c r="A488" s="2">
        <v>18</v>
      </c>
      <c r="B488" s="1" t="s">
        <v>106</v>
      </c>
      <c r="C488" s="4">
        <v>11</v>
      </c>
      <c r="D488" s="8">
        <v>1.06</v>
      </c>
      <c r="E488" s="4">
        <v>10</v>
      </c>
      <c r="F488" s="8">
        <v>1.54</v>
      </c>
      <c r="G488" s="4">
        <v>1</v>
      </c>
      <c r="H488" s="8">
        <v>0.26</v>
      </c>
      <c r="I488" s="4">
        <v>0</v>
      </c>
    </row>
    <row r="489" spans="1:9" x14ac:dyDescent="0.15">
      <c r="A489" s="1"/>
      <c r="C489" s="4"/>
      <c r="D489" s="8"/>
      <c r="E489" s="4"/>
      <c r="F489" s="8"/>
      <c r="G489" s="4"/>
      <c r="H489" s="8"/>
      <c r="I489" s="4"/>
    </row>
    <row r="490" spans="1:9" x14ac:dyDescent="0.15">
      <c r="A490" s="1" t="s">
        <v>22</v>
      </c>
      <c r="C490" s="4"/>
      <c r="D490" s="8"/>
      <c r="E490" s="4"/>
      <c r="F490" s="8"/>
      <c r="G490" s="4"/>
      <c r="H490" s="8"/>
      <c r="I490" s="4"/>
    </row>
    <row r="491" spans="1:9" x14ac:dyDescent="0.15">
      <c r="A491" s="2">
        <v>1</v>
      </c>
      <c r="B491" s="1" t="s">
        <v>110</v>
      </c>
      <c r="C491" s="4">
        <v>205</v>
      </c>
      <c r="D491" s="8">
        <v>13.67</v>
      </c>
      <c r="E491" s="4">
        <v>129</v>
      </c>
      <c r="F491" s="8">
        <v>13.22</v>
      </c>
      <c r="G491" s="4">
        <v>76</v>
      </c>
      <c r="H491" s="8">
        <v>14.67</v>
      </c>
      <c r="I491" s="4">
        <v>0</v>
      </c>
    </row>
    <row r="492" spans="1:9" x14ac:dyDescent="0.15">
      <c r="A492" s="2">
        <v>2</v>
      </c>
      <c r="B492" s="1" t="s">
        <v>89</v>
      </c>
      <c r="C492" s="4">
        <v>154</v>
      </c>
      <c r="D492" s="8">
        <v>10.27</v>
      </c>
      <c r="E492" s="4">
        <v>144</v>
      </c>
      <c r="F492" s="8">
        <v>14.75</v>
      </c>
      <c r="G492" s="4">
        <v>9</v>
      </c>
      <c r="H492" s="8">
        <v>1.74</v>
      </c>
      <c r="I492" s="4">
        <v>1</v>
      </c>
    </row>
    <row r="493" spans="1:9" x14ac:dyDescent="0.15">
      <c r="A493" s="2">
        <v>3</v>
      </c>
      <c r="B493" s="1" t="s">
        <v>90</v>
      </c>
      <c r="C493" s="4">
        <v>142</v>
      </c>
      <c r="D493" s="8">
        <v>9.4700000000000006</v>
      </c>
      <c r="E493" s="4">
        <v>124</v>
      </c>
      <c r="F493" s="8">
        <v>12.7</v>
      </c>
      <c r="G493" s="4">
        <v>18</v>
      </c>
      <c r="H493" s="8">
        <v>3.47</v>
      </c>
      <c r="I493" s="4">
        <v>0</v>
      </c>
    </row>
    <row r="494" spans="1:9" x14ac:dyDescent="0.15">
      <c r="A494" s="2">
        <v>4</v>
      </c>
      <c r="B494" s="1" t="s">
        <v>84</v>
      </c>
      <c r="C494" s="4">
        <v>124</v>
      </c>
      <c r="D494" s="8">
        <v>8.27</v>
      </c>
      <c r="E494" s="4">
        <v>75</v>
      </c>
      <c r="F494" s="8">
        <v>7.68</v>
      </c>
      <c r="G494" s="4">
        <v>49</v>
      </c>
      <c r="H494" s="8">
        <v>9.4600000000000009</v>
      </c>
      <c r="I494" s="4">
        <v>0</v>
      </c>
    </row>
    <row r="495" spans="1:9" x14ac:dyDescent="0.15">
      <c r="A495" s="2">
        <v>5</v>
      </c>
      <c r="B495" s="1" t="s">
        <v>74</v>
      </c>
      <c r="C495" s="4">
        <v>83</v>
      </c>
      <c r="D495" s="8">
        <v>5.53</v>
      </c>
      <c r="E495" s="4">
        <v>34</v>
      </c>
      <c r="F495" s="8">
        <v>3.48</v>
      </c>
      <c r="G495" s="4">
        <v>49</v>
      </c>
      <c r="H495" s="8">
        <v>9.4600000000000009</v>
      </c>
      <c r="I495" s="4">
        <v>0</v>
      </c>
    </row>
    <row r="496" spans="1:9" x14ac:dyDescent="0.15">
      <c r="A496" s="2">
        <v>6</v>
      </c>
      <c r="B496" s="1" t="s">
        <v>83</v>
      </c>
      <c r="C496" s="4">
        <v>69</v>
      </c>
      <c r="D496" s="8">
        <v>4.5999999999999996</v>
      </c>
      <c r="E496" s="4">
        <v>46</v>
      </c>
      <c r="F496" s="8">
        <v>4.71</v>
      </c>
      <c r="G496" s="4">
        <v>23</v>
      </c>
      <c r="H496" s="8">
        <v>4.4400000000000004</v>
      </c>
      <c r="I496" s="4">
        <v>0</v>
      </c>
    </row>
    <row r="497" spans="1:9" x14ac:dyDescent="0.15">
      <c r="A497" s="2">
        <v>7</v>
      </c>
      <c r="B497" s="1" t="s">
        <v>75</v>
      </c>
      <c r="C497" s="4">
        <v>67</v>
      </c>
      <c r="D497" s="8">
        <v>4.47</v>
      </c>
      <c r="E497" s="4">
        <v>46</v>
      </c>
      <c r="F497" s="8">
        <v>4.71</v>
      </c>
      <c r="G497" s="4">
        <v>21</v>
      </c>
      <c r="H497" s="8">
        <v>4.05</v>
      </c>
      <c r="I497" s="4">
        <v>0</v>
      </c>
    </row>
    <row r="498" spans="1:9" x14ac:dyDescent="0.15">
      <c r="A498" s="2">
        <v>8</v>
      </c>
      <c r="B498" s="1" t="s">
        <v>82</v>
      </c>
      <c r="C498" s="4">
        <v>44</v>
      </c>
      <c r="D498" s="8">
        <v>2.93</v>
      </c>
      <c r="E498" s="4">
        <v>40</v>
      </c>
      <c r="F498" s="8">
        <v>4.0999999999999996</v>
      </c>
      <c r="G498" s="4">
        <v>4</v>
      </c>
      <c r="H498" s="8">
        <v>0.77</v>
      </c>
      <c r="I498" s="4">
        <v>0</v>
      </c>
    </row>
    <row r="499" spans="1:9" x14ac:dyDescent="0.15">
      <c r="A499" s="2">
        <v>9</v>
      </c>
      <c r="B499" s="1" t="s">
        <v>92</v>
      </c>
      <c r="C499" s="4">
        <v>42</v>
      </c>
      <c r="D499" s="8">
        <v>2.8</v>
      </c>
      <c r="E499" s="4">
        <v>34</v>
      </c>
      <c r="F499" s="8">
        <v>3.48</v>
      </c>
      <c r="G499" s="4">
        <v>8</v>
      </c>
      <c r="H499" s="8">
        <v>1.54</v>
      </c>
      <c r="I499" s="4">
        <v>0</v>
      </c>
    </row>
    <row r="500" spans="1:9" x14ac:dyDescent="0.15">
      <c r="A500" s="2">
        <v>10</v>
      </c>
      <c r="B500" s="1" t="s">
        <v>81</v>
      </c>
      <c r="C500" s="4">
        <v>41</v>
      </c>
      <c r="D500" s="8">
        <v>2.73</v>
      </c>
      <c r="E500" s="4">
        <v>26</v>
      </c>
      <c r="F500" s="8">
        <v>2.66</v>
      </c>
      <c r="G500" s="4">
        <v>14</v>
      </c>
      <c r="H500" s="8">
        <v>2.7</v>
      </c>
      <c r="I500" s="4">
        <v>1</v>
      </c>
    </row>
    <row r="501" spans="1:9" x14ac:dyDescent="0.15">
      <c r="A501" s="2">
        <v>10</v>
      </c>
      <c r="B501" s="1" t="s">
        <v>86</v>
      </c>
      <c r="C501" s="4">
        <v>41</v>
      </c>
      <c r="D501" s="8">
        <v>2.73</v>
      </c>
      <c r="E501" s="4">
        <v>16</v>
      </c>
      <c r="F501" s="8">
        <v>1.64</v>
      </c>
      <c r="G501" s="4">
        <v>25</v>
      </c>
      <c r="H501" s="8">
        <v>4.83</v>
      </c>
      <c r="I501" s="4">
        <v>0</v>
      </c>
    </row>
    <row r="502" spans="1:9" x14ac:dyDescent="0.15">
      <c r="A502" s="2">
        <v>12</v>
      </c>
      <c r="B502" s="1" t="s">
        <v>76</v>
      </c>
      <c r="C502" s="4">
        <v>38</v>
      </c>
      <c r="D502" s="8">
        <v>2.5299999999999998</v>
      </c>
      <c r="E502" s="4">
        <v>26</v>
      </c>
      <c r="F502" s="8">
        <v>2.66</v>
      </c>
      <c r="G502" s="4">
        <v>12</v>
      </c>
      <c r="H502" s="8">
        <v>2.3199999999999998</v>
      </c>
      <c r="I502" s="4">
        <v>0</v>
      </c>
    </row>
    <row r="503" spans="1:9" x14ac:dyDescent="0.15">
      <c r="A503" s="2">
        <v>13</v>
      </c>
      <c r="B503" s="1" t="s">
        <v>87</v>
      </c>
      <c r="C503" s="4">
        <v>33</v>
      </c>
      <c r="D503" s="8">
        <v>2.2000000000000002</v>
      </c>
      <c r="E503" s="4">
        <v>28</v>
      </c>
      <c r="F503" s="8">
        <v>2.87</v>
      </c>
      <c r="G503" s="4">
        <v>5</v>
      </c>
      <c r="H503" s="8">
        <v>0.97</v>
      </c>
      <c r="I503" s="4">
        <v>0</v>
      </c>
    </row>
    <row r="504" spans="1:9" x14ac:dyDescent="0.15">
      <c r="A504" s="2">
        <v>14</v>
      </c>
      <c r="B504" s="1" t="s">
        <v>112</v>
      </c>
      <c r="C504" s="4">
        <v>31</v>
      </c>
      <c r="D504" s="8">
        <v>2.0699999999999998</v>
      </c>
      <c r="E504" s="4">
        <v>22</v>
      </c>
      <c r="F504" s="8">
        <v>2.25</v>
      </c>
      <c r="G504" s="4">
        <v>9</v>
      </c>
      <c r="H504" s="8">
        <v>1.74</v>
      </c>
      <c r="I504" s="4">
        <v>0</v>
      </c>
    </row>
    <row r="505" spans="1:9" x14ac:dyDescent="0.15">
      <c r="A505" s="2">
        <v>15</v>
      </c>
      <c r="B505" s="1" t="s">
        <v>77</v>
      </c>
      <c r="C505" s="4">
        <v>28</v>
      </c>
      <c r="D505" s="8">
        <v>1.87</v>
      </c>
      <c r="E505" s="4">
        <v>19</v>
      </c>
      <c r="F505" s="8">
        <v>1.95</v>
      </c>
      <c r="G505" s="4">
        <v>9</v>
      </c>
      <c r="H505" s="8">
        <v>1.74</v>
      </c>
      <c r="I505" s="4">
        <v>0</v>
      </c>
    </row>
    <row r="506" spans="1:9" x14ac:dyDescent="0.15">
      <c r="A506" s="2">
        <v>16</v>
      </c>
      <c r="B506" s="1" t="s">
        <v>102</v>
      </c>
      <c r="C506" s="4">
        <v>25</v>
      </c>
      <c r="D506" s="8">
        <v>1.67</v>
      </c>
      <c r="E506" s="4">
        <v>15</v>
      </c>
      <c r="F506" s="8">
        <v>1.54</v>
      </c>
      <c r="G506" s="4">
        <v>10</v>
      </c>
      <c r="H506" s="8">
        <v>1.93</v>
      </c>
      <c r="I506" s="4">
        <v>0</v>
      </c>
    </row>
    <row r="507" spans="1:9" x14ac:dyDescent="0.15">
      <c r="A507" s="2">
        <v>16</v>
      </c>
      <c r="B507" s="1" t="s">
        <v>93</v>
      </c>
      <c r="C507" s="4">
        <v>25</v>
      </c>
      <c r="D507" s="8">
        <v>1.67</v>
      </c>
      <c r="E507" s="4">
        <v>24</v>
      </c>
      <c r="F507" s="8">
        <v>2.46</v>
      </c>
      <c r="G507" s="4">
        <v>1</v>
      </c>
      <c r="H507" s="8">
        <v>0.19</v>
      </c>
      <c r="I507" s="4">
        <v>0</v>
      </c>
    </row>
    <row r="508" spans="1:9" x14ac:dyDescent="0.15">
      <c r="A508" s="2">
        <v>18</v>
      </c>
      <c r="B508" s="1" t="s">
        <v>78</v>
      </c>
      <c r="C508" s="4">
        <v>24</v>
      </c>
      <c r="D508" s="8">
        <v>1.6</v>
      </c>
      <c r="E508" s="4">
        <v>2</v>
      </c>
      <c r="F508" s="8">
        <v>0.2</v>
      </c>
      <c r="G508" s="4">
        <v>22</v>
      </c>
      <c r="H508" s="8">
        <v>4.25</v>
      </c>
      <c r="I508" s="4">
        <v>0</v>
      </c>
    </row>
    <row r="509" spans="1:9" x14ac:dyDescent="0.15">
      <c r="A509" s="2">
        <v>19</v>
      </c>
      <c r="B509" s="1" t="s">
        <v>106</v>
      </c>
      <c r="C509" s="4">
        <v>21</v>
      </c>
      <c r="D509" s="8">
        <v>1.4</v>
      </c>
      <c r="E509" s="4">
        <v>14</v>
      </c>
      <c r="F509" s="8">
        <v>1.43</v>
      </c>
      <c r="G509" s="4">
        <v>7</v>
      </c>
      <c r="H509" s="8">
        <v>1.35</v>
      </c>
      <c r="I509" s="4">
        <v>0</v>
      </c>
    </row>
    <row r="510" spans="1:9" x14ac:dyDescent="0.15">
      <c r="A510" s="2">
        <v>20</v>
      </c>
      <c r="B510" s="1" t="s">
        <v>80</v>
      </c>
      <c r="C510" s="4">
        <v>19</v>
      </c>
      <c r="D510" s="8">
        <v>1.27</v>
      </c>
      <c r="E510" s="4">
        <v>12</v>
      </c>
      <c r="F510" s="8">
        <v>1.23</v>
      </c>
      <c r="G510" s="4">
        <v>7</v>
      </c>
      <c r="H510" s="8">
        <v>1.35</v>
      </c>
      <c r="I510" s="4">
        <v>0</v>
      </c>
    </row>
    <row r="511" spans="1:9" x14ac:dyDescent="0.15">
      <c r="A511" s="1"/>
      <c r="C511" s="4"/>
      <c r="D511" s="8"/>
      <c r="E511" s="4"/>
      <c r="F511" s="8"/>
      <c r="G511" s="4"/>
      <c r="H511" s="8"/>
      <c r="I511" s="4"/>
    </row>
    <row r="512" spans="1:9" x14ac:dyDescent="0.15">
      <c r="A512" s="1" t="s">
        <v>23</v>
      </c>
      <c r="C512" s="4"/>
      <c r="D512" s="8"/>
      <c r="E512" s="4"/>
      <c r="F512" s="8"/>
      <c r="G512" s="4"/>
      <c r="H512" s="8"/>
      <c r="I512" s="4"/>
    </row>
    <row r="513" spans="1:9" x14ac:dyDescent="0.15">
      <c r="A513" s="2">
        <v>1</v>
      </c>
      <c r="B513" s="1" t="s">
        <v>89</v>
      </c>
      <c r="C513" s="4">
        <v>349</v>
      </c>
      <c r="D513" s="8">
        <v>11.52</v>
      </c>
      <c r="E513" s="4">
        <v>315</v>
      </c>
      <c r="F513" s="8">
        <v>19.899999999999999</v>
      </c>
      <c r="G513" s="4">
        <v>34</v>
      </c>
      <c r="H513" s="8">
        <v>2.36</v>
      </c>
      <c r="I513" s="4">
        <v>0</v>
      </c>
    </row>
    <row r="514" spans="1:9" x14ac:dyDescent="0.15">
      <c r="A514" s="2">
        <v>2</v>
      </c>
      <c r="B514" s="1" t="s">
        <v>86</v>
      </c>
      <c r="C514" s="4">
        <v>327</v>
      </c>
      <c r="D514" s="8">
        <v>10.79</v>
      </c>
      <c r="E514" s="4">
        <v>92</v>
      </c>
      <c r="F514" s="8">
        <v>5.81</v>
      </c>
      <c r="G514" s="4">
        <v>234</v>
      </c>
      <c r="H514" s="8">
        <v>16.25</v>
      </c>
      <c r="I514" s="4">
        <v>1</v>
      </c>
    </row>
    <row r="515" spans="1:9" x14ac:dyDescent="0.15">
      <c r="A515" s="2">
        <v>3</v>
      </c>
      <c r="B515" s="1" t="s">
        <v>90</v>
      </c>
      <c r="C515" s="4">
        <v>307</v>
      </c>
      <c r="D515" s="8">
        <v>10.130000000000001</v>
      </c>
      <c r="E515" s="4">
        <v>242</v>
      </c>
      <c r="F515" s="8">
        <v>15.29</v>
      </c>
      <c r="G515" s="4">
        <v>65</v>
      </c>
      <c r="H515" s="8">
        <v>4.51</v>
      </c>
      <c r="I515" s="4">
        <v>0</v>
      </c>
    </row>
    <row r="516" spans="1:9" x14ac:dyDescent="0.15">
      <c r="A516" s="2">
        <v>4</v>
      </c>
      <c r="B516" s="1" t="s">
        <v>84</v>
      </c>
      <c r="C516" s="4">
        <v>240</v>
      </c>
      <c r="D516" s="8">
        <v>7.92</v>
      </c>
      <c r="E516" s="4">
        <v>138</v>
      </c>
      <c r="F516" s="8">
        <v>8.7200000000000006</v>
      </c>
      <c r="G516" s="4">
        <v>102</v>
      </c>
      <c r="H516" s="8">
        <v>7.08</v>
      </c>
      <c r="I516" s="4">
        <v>0</v>
      </c>
    </row>
    <row r="517" spans="1:9" x14ac:dyDescent="0.15">
      <c r="A517" s="2">
        <v>5</v>
      </c>
      <c r="B517" s="1" t="s">
        <v>74</v>
      </c>
      <c r="C517" s="4">
        <v>210</v>
      </c>
      <c r="D517" s="8">
        <v>6.93</v>
      </c>
      <c r="E517" s="4">
        <v>49</v>
      </c>
      <c r="F517" s="8">
        <v>3.1</v>
      </c>
      <c r="G517" s="4">
        <v>161</v>
      </c>
      <c r="H517" s="8">
        <v>11.18</v>
      </c>
      <c r="I517" s="4">
        <v>0</v>
      </c>
    </row>
    <row r="518" spans="1:9" x14ac:dyDescent="0.15">
      <c r="A518" s="2">
        <v>6</v>
      </c>
      <c r="B518" s="1" t="s">
        <v>92</v>
      </c>
      <c r="C518" s="4">
        <v>165</v>
      </c>
      <c r="D518" s="8">
        <v>5.45</v>
      </c>
      <c r="E518" s="4">
        <v>115</v>
      </c>
      <c r="F518" s="8">
        <v>7.26</v>
      </c>
      <c r="G518" s="4">
        <v>50</v>
      </c>
      <c r="H518" s="8">
        <v>3.47</v>
      </c>
      <c r="I518" s="4">
        <v>0</v>
      </c>
    </row>
    <row r="519" spans="1:9" x14ac:dyDescent="0.15">
      <c r="A519" s="2">
        <v>7</v>
      </c>
      <c r="B519" s="1" t="s">
        <v>82</v>
      </c>
      <c r="C519" s="4">
        <v>163</v>
      </c>
      <c r="D519" s="8">
        <v>5.38</v>
      </c>
      <c r="E519" s="4">
        <v>107</v>
      </c>
      <c r="F519" s="8">
        <v>6.76</v>
      </c>
      <c r="G519" s="4">
        <v>56</v>
      </c>
      <c r="H519" s="8">
        <v>3.89</v>
      </c>
      <c r="I519" s="4">
        <v>0</v>
      </c>
    </row>
    <row r="520" spans="1:9" x14ac:dyDescent="0.15">
      <c r="A520" s="2">
        <v>8</v>
      </c>
      <c r="B520" s="1" t="s">
        <v>93</v>
      </c>
      <c r="C520" s="4">
        <v>143</v>
      </c>
      <c r="D520" s="8">
        <v>4.72</v>
      </c>
      <c r="E520" s="4">
        <v>128</v>
      </c>
      <c r="F520" s="8">
        <v>8.09</v>
      </c>
      <c r="G520" s="4">
        <v>15</v>
      </c>
      <c r="H520" s="8">
        <v>1.04</v>
      </c>
      <c r="I520" s="4">
        <v>0</v>
      </c>
    </row>
    <row r="521" spans="1:9" x14ac:dyDescent="0.15">
      <c r="A521" s="2">
        <v>9</v>
      </c>
      <c r="B521" s="1" t="s">
        <v>81</v>
      </c>
      <c r="C521" s="4">
        <v>111</v>
      </c>
      <c r="D521" s="8">
        <v>3.66</v>
      </c>
      <c r="E521" s="4">
        <v>69</v>
      </c>
      <c r="F521" s="8">
        <v>4.3600000000000003</v>
      </c>
      <c r="G521" s="4">
        <v>42</v>
      </c>
      <c r="H521" s="8">
        <v>2.92</v>
      </c>
      <c r="I521" s="4">
        <v>0</v>
      </c>
    </row>
    <row r="522" spans="1:9" x14ac:dyDescent="0.15">
      <c r="A522" s="2">
        <v>10</v>
      </c>
      <c r="B522" s="1" t="s">
        <v>87</v>
      </c>
      <c r="C522" s="4">
        <v>88</v>
      </c>
      <c r="D522" s="8">
        <v>2.9</v>
      </c>
      <c r="E522" s="4">
        <v>58</v>
      </c>
      <c r="F522" s="8">
        <v>3.66</v>
      </c>
      <c r="G522" s="4">
        <v>30</v>
      </c>
      <c r="H522" s="8">
        <v>2.08</v>
      </c>
      <c r="I522" s="4">
        <v>0</v>
      </c>
    </row>
    <row r="523" spans="1:9" x14ac:dyDescent="0.15">
      <c r="A523" s="2">
        <v>11</v>
      </c>
      <c r="B523" s="1" t="s">
        <v>83</v>
      </c>
      <c r="C523" s="4">
        <v>86</v>
      </c>
      <c r="D523" s="8">
        <v>2.84</v>
      </c>
      <c r="E523" s="4">
        <v>52</v>
      </c>
      <c r="F523" s="8">
        <v>3.28</v>
      </c>
      <c r="G523" s="4">
        <v>34</v>
      </c>
      <c r="H523" s="8">
        <v>2.36</v>
      </c>
      <c r="I523" s="4">
        <v>0</v>
      </c>
    </row>
    <row r="524" spans="1:9" x14ac:dyDescent="0.15">
      <c r="A524" s="2">
        <v>12</v>
      </c>
      <c r="B524" s="1" t="s">
        <v>75</v>
      </c>
      <c r="C524" s="4">
        <v>82</v>
      </c>
      <c r="D524" s="8">
        <v>2.71</v>
      </c>
      <c r="E524" s="4">
        <v>25</v>
      </c>
      <c r="F524" s="8">
        <v>1.58</v>
      </c>
      <c r="G524" s="4">
        <v>57</v>
      </c>
      <c r="H524" s="8">
        <v>3.96</v>
      </c>
      <c r="I524" s="4">
        <v>0</v>
      </c>
    </row>
    <row r="525" spans="1:9" x14ac:dyDescent="0.15">
      <c r="A525" s="2">
        <v>13</v>
      </c>
      <c r="B525" s="1" t="s">
        <v>76</v>
      </c>
      <c r="C525" s="4">
        <v>69</v>
      </c>
      <c r="D525" s="8">
        <v>2.2799999999999998</v>
      </c>
      <c r="E525" s="4">
        <v>14</v>
      </c>
      <c r="F525" s="8">
        <v>0.88</v>
      </c>
      <c r="G525" s="4">
        <v>55</v>
      </c>
      <c r="H525" s="8">
        <v>3.82</v>
      </c>
      <c r="I525" s="4">
        <v>0</v>
      </c>
    </row>
    <row r="526" spans="1:9" x14ac:dyDescent="0.15">
      <c r="A526" s="2">
        <v>14</v>
      </c>
      <c r="B526" s="1" t="s">
        <v>85</v>
      </c>
      <c r="C526" s="4">
        <v>64</v>
      </c>
      <c r="D526" s="8">
        <v>2.11</v>
      </c>
      <c r="E526" s="4">
        <v>15</v>
      </c>
      <c r="F526" s="8">
        <v>0.95</v>
      </c>
      <c r="G526" s="4">
        <v>49</v>
      </c>
      <c r="H526" s="8">
        <v>3.4</v>
      </c>
      <c r="I526" s="4">
        <v>0</v>
      </c>
    </row>
    <row r="527" spans="1:9" x14ac:dyDescent="0.15">
      <c r="A527" s="2">
        <v>15</v>
      </c>
      <c r="B527" s="1" t="s">
        <v>88</v>
      </c>
      <c r="C527" s="4">
        <v>63</v>
      </c>
      <c r="D527" s="8">
        <v>2.08</v>
      </c>
      <c r="E527" s="4">
        <v>29</v>
      </c>
      <c r="F527" s="8">
        <v>1.83</v>
      </c>
      <c r="G527" s="4">
        <v>34</v>
      </c>
      <c r="H527" s="8">
        <v>2.36</v>
      </c>
      <c r="I527" s="4">
        <v>0</v>
      </c>
    </row>
    <row r="528" spans="1:9" x14ac:dyDescent="0.15">
      <c r="A528" s="2">
        <v>16</v>
      </c>
      <c r="B528" s="1" t="s">
        <v>94</v>
      </c>
      <c r="C528" s="4">
        <v>51</v>
      </c>
      <c r="D528" s="8">
        <v>1.68</v>
      </c>
      <c r="E528" s="4">
        <v>0</v>
      </c>
      <c r="F528" s="8">
        <v>0</v>
      </c>
      <c r="G528" s="4">
        <v>51</v>
      </c>
      <c r="H528" s="8">
        <v>3.54</v>
      </c>
      <c r="I528" s="4">
        <v>0</v>
      </c>
    </row>
    <row r="529" spans="1:9" x14ac:dyDescent="0.15">
      <c r="A529" s="2">
        <v>17</v>
      </c>
      <c r="B529" s="1" t="s">
        <v>91</v>
      </c>
      <c r="C529" s="4">
        <v>38</v>
      </c>
      <c r="D529" s="8">
        <v>1.25</v>
      </c>
      <c r="E529" s="4">
        <v>20</v>
      </c>
      <c r="F529" s="8">
        <v>1.26</v>
      </c>
      <c r="G529" s="4">
        <v>18</v>
      </c>
      <c r="H529" s="8">
        <v>1.25</v>
      </c>
      <c r="I529" s="4">
        <v>0</v>
      </c>
    </row>
    <row r="530" spans="1:9" x14ac:dyDescent="0.15">
      <c r="A530" s="2">
        <v>18</v>
      </c>
      <c r="B530" s="1" t="s">
        <v>80</v>
      </c>
      <c r="C530" s="4">
        <v>37</v>
      </c>
      <c r="D530" s="8">
        <v>1.22</v>
      </c>
      <c r="E530" s="4">
        <v>7</v>
      </c>
      <c r="F530" s="8">
        <v>0.44</v>
      </c>
      <c r="G530" s="4">
        <v>30</v>
      </c>
      <c r="H530" s="8">
        <v>2.08</v>
      </c>
      <c r="I530" s="4">
        <v>0</v>
      </c>
    </row>
    <row r="531" spans="1:9" x14ac:dyDescent="0.15">
      <c r="A531" s="2">
        <v>18</v>
      </c>
      <c r="B531" s="1" t="s">
        <v>97</v>
      </c>
      <c r="C531" s="4">
        <v>37</v>
      </c>
      <c r="D531" s="8">
        <v>1.22</v>
      </c>
      <c r="E531" s="4">
        <v>4</v>
      </c>
      <c r="F531" s="8">
        <v>0.25</v>
      </c>
      <c r="G531" s="4">
        <v>32</v>
      </c>
      <c r="H531" s="8">
        <v>2.2200000000000002</v>
      </c>
      <c r="I531" s="4">
        <v>1</v>
      </c>
    </row>
    <row r="532" spans="1:9" x14ac:dyDescent="0.15">
      <c r="A532" s="2">
        <v>20</v>
      </c>
      <c r="B532" s="1" t="s">
        <v>78</v>
      </c>
      <c r="C532" s="4">
        <v>34</v>
      </c>
      <c r="D532" s="8">
        <v>1.1200000000000001</v>
      </c>
      <c r="E532" s="4">
        <v>4</v>
      </c>
      <c r="F532" s="8">
        <v>0.25</v>
      </c>
      <c r="G532" s="4">
        <v>30</v>
      </c>
      <c r="H532" s="8">
        <v>2.08</v>
      </c>
      <c r="I532" s="4">
        <v>0</v>
      </c>
    </row>
    <row r="533" spans="1:9" x14ac:dyDescent="0.15">
      <c r="A533" s="1"/>
      <c r="C533" s="4"/>
      <c r="D533" s="8"/>
      <c r="E533" s="4"/>
      <c r="F533" s="8"/>
      <c r="G533" s="4"/>
      <c r="H533" s="8"/>
      <c r="I533" s="4"/>
    </row>
    <row r="534" spans="1:9" x14ac:dyDescent="0.15">
      <c r="A534" s="1" t="s">
        <v>24</v>
      </c>
      <c r="C534" s="4"/>
      <c r="D534" s="8"/>
      <c r="E534" s="4"/>
      <c r="F534" s="8"/>
      <c r="G534" s="4"/>
      <c r="H534" s="8"/>
      <c r="I534" s="4"/>
    </row>
    <row r="535" spans="1:9" x14ac:dyDescent="0.15">
      <c r="A535" s="2">
        <v>1</v>
      </c>
      <c r="B535" s="1" t="s">
        <v>89</v>
      </c>
      <c r="C535" s="4">
        <v>212</v>
      </c>
      <c r="D535" s="8">
        <v>11.13</v>
      </c>
      <c r="E535" s="4">
        <v>195</v>
      </c>
      <c r="F535" s="8">
        <v>16.059999999999999</v>
      </c>
      <c r="G535" s="4">
        <v>17</v>
      </c>
      <c r="H535" s="8">
        <v>2.4700000000000002</v>
      </c>
      <c r="I535" s="4">
        <v>0</v>
      </c>
    </row>
    <row r="536" spans="1:9" x14ac:dyDescent="0.15">
      <c r="A536" s="2">
        <v>2</v>
      </c>
      <c r="B536" s="1" t="s">
        <v>90</v>
      </c>
      <c r="C536" s="4">
        <v>185</v>
      </c>
      <c r="D536" s="8">
        <v>9.7100000000000009</v>
      </c>
      <c r="E536" s="4">
        <v>161</v>
      </c>
      <c r="F536" s="8">
        <v>13.26</v>
      </c>
      <c r="G536" s="4">
        <v>24</v>
      </c>
      <c r="H536" s="8">
        <v>3.49</v>
      </c>
      <c r="I536" s="4">
        <v>0</v>
      </c>
    </row>
    <row r="537" spans="1:9" x14ac:dyDescent="0.15">
      <c r="A537" s="2">
        <v>3</v>
      </c>
      <c r="B537" s="1" t="s">
        <v>77</v>
      </c>
      <c r="C537" s="4">
        <v>174</v>
      </c>
      <c r="D537" s="8">
        <v>9.1300000000000008</v>
      </c>
      <c r="E537" s="4">
        <v>112</v>
      </c>
      <c r="F537" s="8">
        <v>9.23</v>
      </c>
      <c r="G537" s="4">
        <v>62</v>
      </c>
      <c r="H537" s="8">
        <v>9.01</v>
      </c>
      <c r="I537" s="4">
        <v>0</v>
      </c>
    </row>
    <row r="538" spans="1:9" x14ac:dyDescent="0.15">
      <c r="A538" s="2">
        <v>4</v>
      </c>
      <c r="B538" s="1" t="s">
        <v>84</v>
      </c>
      <c r="C538" s="4">
        <v>140</v>
      </c>
      <c r="D538" s="8">
        <v>7.35</v>
      </c>
      <c r="E538" s="4">
        <v>89</v>
      </c>
      <c r="F538" s="8">
        <v>7.33</v>
      </c>
      <c r="G538" s="4">
        <v>51</v>
      </c>
      <c r="H538" s="8">
        <v>7.41</v>
      </c>
      <c r="I538" s="4">
        <v>0</v>
      </c>
    </row>
    <row r="539" spans="1:9" x14ac:dyDescent="0.15">
      <c r="A539" s="2">
        <v>5</v>
      </c>
      <c r="B539" s="1" t="s">
        <v>74</v>
      </c>
      <c r="C539" s="4">
        <v>134</v>
      </c>
      <c r="D539" s="8">
        <v>7.03</v>
      </c>
      <c r="E539" s="4">
        <v>55</v>
      </c>
      <c r="F539" s="8">
        <v>4.53</v>
      </c>
      <c r="G539" s="4">
        <v>79</v>
      </c>
      <c r="H539" s="8">
        <v>11.48</v>
      </c>
      <c r="I539" s="4">
        <v>0</v>
      </c>
    </row>
    <row r="540" spans="1:9" x14ac:dyDescent="0.15">
      <c r="A540" s="2">
        <v>6</v>
      </c>
      <c r="B540" s="1" t="s">
        <v>80</v>
      </c>
      <c r="C540" s="4">
        <v>87</v>
      </c>
      <c r="D540" s="8">
        <v>4.57</v>
      </c>
      <c r="E540" s="4">
        <v>45</v>
      </c>
      <c r="F540" s="8">
        <v>3.71</v>
      </c>
      <c r="G540" s="4">
        <v>41</v>
      </c>
      <c r="H540" s="8">
        <v>5.96</v>
      </c>
      <c r="I540" s="4">
        <v>1</v>
      </c>
    </row>
    <row r="541" spans="1:9" x14ac:dyDescent="0.15">
      <c r="A541" s="2">
        <v>7</v>
      </c>
      <c r="B541" s="1" t="s">
        <v>75</v>
      </c>
      <c r="C541" s="4">
        <v>75</v>
      </c>
      <c r="D541" s="8">
        <v>3.94</v>
      </c>
      <c r="E541" s="4">
        <v>50</v>
      </c>
      <c r="F541" s="8">
        <v>4.12</v>
      </c>
      <c r="G541" s="4">
        <v>25</v>
      </c>
      <c r="H541" s="8">
        <v>3.63</v>
      </c>
      <c r="I541" s="4">
        <v>0</v>
      </c>
    </row>
    <row r="542" spans="1:9" x14ac:dyDescent="0.15">
      <c r="A542" s="2">
        <v>8</v>
      </c>
      <c r="B542" s="1" t="s">
        <v>82</v>
      </c>
      <c r="C542" s="4">
        <v>74</v>
      </c>
      <c r="D542" s="8">
        <v>3.88</v>
      </c>
      <c r="E542" s="4">
        <v>60</v>
      </c>
      <c r="F542" s="8">
        <v>4.9400000000000004</v>
      </c>
      <c r="G542" s="4">
        <v>12</v>
      </c>
      <c r="H542" s="8">
        <v>1.74</v>
      </c>
      <c r="I542" s="4">
        <v>2</v>
      </c>
    </row>
    <row r="543" spans="1:9" x14ac:dyDescent="0.15">
      <c r="A543" s="2">
        <v>9</v>
      </c>
      <c r="B543" s="1" t="s">
        <v>92</v>
      </c>
      <c r="C543" s="4">
        <v>73</v>
      </c>
      <c r="D543" s="8">
        <v>3.83</v>
      </c>
      <c r="E543" s="4">
        <v>59</v>
      </c>
      <c r="F543" s="8">
        <v>4.8600000000000003</v>
      </c>
      <c r="G543" s="4">
        <v>14</v>
      </c>
      <c r="H543" s="8">
        <v>2.0299999999999998</v>
      </c>
      <c r="I543" s="4">
        <v>0</v>
      </c>
    </row>
    <row r="544" spans="1:9" x14ac:dyDescent="0.15">
      <c r="A544" s="2">
        <v>10</v>
      </c>
      <c r="B544" s="1" t="s">
        <v>83</v>
      </c>
      <c r="C544" s="4">
        <v>71</v>
      </c>
      <c r="D544" s="8">
        <v>3.73</v>
      </c>
      <c r="E544" s="4">
        <v>44</v>
      </c>
      <c r="F544" s="8">
        <v>3.62</v>
      </c>
      <c r="G544" s="4">
        <v>27</v>
      </c>
      <c r="H544" s="8">
        <v>3.92</v>
      </c>
      <c r="I544" s="4">
        <v>0</v>
      </c>
    </row>
    <row r="545" spans="1:9" x14ac:dyDescent="0.15">
      <c r="A545" s="2">
        <v>11</v>
      </c>
      <c r="B545" s="1" t="s">
        <v>93</v>
      </c>
      <c r="C545" s="4">
        <v>55</v>
      </c>
      <c r="D545" s="8">
        <v>2.89</v>
      </c>
      <c r="E545" s="4">
        <v>53</v>
      </c>
      <c r="F545" s="8">
        <v>4.37</v>
      </c>
      <c r="G545" s="4">
        <v>2</v>
      </c>
      <c r="H545" s="8">
        <v>0.28999999999999998</v>
      </c>
      <c r="I545" s="4">
        <v>0</v>
      </c>
    </row>
    <row r="546" spans="1:9" x14ac:dyDescent="0.15">
      <c r="A546" s="2">
        <v>12</v>
      </c>
      <c r="B546" s="1" t="s">
        <v>76</v>
      </c>
      <c r="C546" s="4">
        <v>48</v>
      </c>
      <c r="D546" s="8">
        <v>2.52</v>
      </c>
      <c r="E546" s="4">
        <v>26</v>
      </c>
      <c r="F546" s="8">
        <v>2.14</v>
      </c>
      <c r="G546" s="4">
        <v>22</v>
      </c>
      <c r="H546" s="8">
        <v>3.2</v>
      </c>
      <c r="I546" s="4">
        <v>0</v>
      </c>
    </row>
    <row r="547" spans="1:9" x14ac:dyDescent="0.15">
      <c r="A547" s="2">
        <v>13</v>
      </c>
      <c r="B547" s="1" t="s">
        <v>81</v>
      </c>
      <c r="C547" s="4">
        <v>46</v>
      </c>
      <c r="D547" s="8">
        <v>2.41</v>
      </c>
      <c r="E547" s="4">
        <v>36</v>
      </c>
      <c r="F547" s="8">
        <v>2.97</v>
      </c>
      <c r="G547" s="4">
        <v>10</v>
      </c>
      <c r="H547" s="8">
        <v>1.45</v>
      </c>
      <c r="I547" s="4">
        <v>0</v>
      </c>
    </row>
    <row r="548" spans="1:9" x14ac:dyDescent="0.15">
      <c r="A548" s="2">
        <v>14</v>
      </c>
      <c r="B548" s="1" t="s">
        <v>86</v>
      </c>
      <c r="C548" s="4">
        <v>36</v>
      </c>
      <c r="D548" s="8">
        <v>1.89</v>
      </c>
      <c r="E548" s="4">
        <v>17</v>
      </c>
      <c r="F548" s="8">
        <v>1.4</v>
      </c>
      <c r="G548" s="4">
        <v>19</v>
      </c>
      <c r="H548" s="8">
        <v>2.76</v>
      </c>
      <c r="I548" s="4">
        <v>0</v>
      </c>
    </row>
    <row r="549" spans="1:9" x14ac:dyDescent="0.15">
      <c r="A549" s="2">
        <v>15</v>
      </c>
      <c r="B549" s="1" t="s">
        <v>79</v>
      </c>
      <c r="C549" s="4">
        <v>34</v>
      </c>
      <c r="D549" s="8">
        <v>1.78</v>
      </c>
      <c r="E549" s="4">
        <v>9</v>
      </c>
      <c r="F549" s="8">
        <v>0.74</v>
      </c>
      <c r="G549" s="4">
        <v>25</v>
      </c>
      <c r="H549" s="8">
        <v>3.63</v>
      </c>
      <c r="I549" s="4">
        <v>0</v>
      </c>
    </row>
    <row r="550" spans="1:9" x14ac:dyDescent="0.15">
      <c r="A550" s="2">
        <v>15</v>
      </c>
      <c r="B550" s="1" t="s">
        <v>106</v>
      </c>
      <c r="C550" s="4">
        <v>34</v>
      </c>
      <c r="D550" s="8">
        <v>1.78</v>
      </c>
      <c r="E550" s="4">
        <v>28</v>
      </c>
      <c r="F550" s="8">
        <v>2.31</v>
      </c>
      <c r="G550" s="4">
        <v>6</v>
      </c>
      <c r="H550" s="8">
        <v>0.87</v>
      </c>
      <c r="I550" s="4">
        <v>0</v>
      </c>
    </row>
    <row r="551" spans="1:9" x14ac:dyDescent="0.15">
      <c r="A551" s="2">
        <v>17</v>
      </c>
      <c r="B551" s="1" t="s">
        <v>101</v>
      </c>
      <c r="C551" s="4">
        <v>27</v>
      </c>
      <c r="D551" s="8">
        <v>1.42</v>
      </c>
      <c r="E551" s="4">
        <v>11</v>
      </c>
      <c r="F551" s="8">
        <v>0.91</v>
      </c>
      <c r="G551" s="4">
        <v>16</v>
      </c>
      <c r="H551" s="8">
        <v>2.33</v>
      </c>
      <c r="I551" s="4">
        <v>0</v>
      </c>
    </row>
    <row r="552" spans="1:9" x14ac:dyDescent="0.15">
      <c r="A552" s="2">
        <v>18</v>
      </c>
      <c r="B552" s="1" t="s">
        <v>78</v>
      </c>
      <c r="C552" s="4">
        <v>26</v>
      </c>
      <c r="D552" s="8">
        <v>1.36</v>
      </c>
      <c r="E552" s="4">
        <v>6</v>
      </c>
      <c r="F552" s="8">
        <v>0.49</v>
      </c>
      <c r="G552" s="4">
        <v>20</v>
      </c>
      <c r="H552" s="8">
        <v>2.91</v>
      </c>
      <c r="I552" s="4">
        <v>0</v>
      </c>
    </row>
    <row r="553" spans="1:9" x14ac:dyDescent="0.15">
      <c r="A553" s="2">
        <v>19</v>
      </c>
      <c r="B553" s="1" t="s">
        <v>113</v>
      </c>
      <c r="C553" s="4">
        <v>24</v>
      </c>
      <c r="D553" s="8">
        <v>1.26</v>
      </c>
      <c r="E553" s="4">
        <v>14</v>
      </c>
      <c r="F553" s="8">
        <v>1.1499999999999999</v>
      </c>
      <c r="G553" s="4">
        <v>10</v>
      </c>
      <c r="H553" s="8">
        <v>1.45</v>
      </c>
      <c r="I553" s="4">
        <v>0</v>
      </c>
    </row>
    <row r="554" spans="1:9" x14ac:dyDescent="0.15">
      <c r="A554" s="2">
        <v>19</v>
      </c>
      <c r="B554" s="1" t="s">
        <v>87</v>
      </c>
      <c r="C554" s="4">
        <v>24</v>
      </c>
      <c r="D554" s="8">
        <v>1.26</v>
      </c>
      <c r="E554" s="4">
        <v>20</v>
      </c>
      <c r="F554" s="8">
        <v>1.65</v>
      </c>
      <c r="G554" s="4">
        <v>4</v>
      </c>
      <c r="H554" s="8">
        <v>0.57999999999999996</v>
      </c>
      <c r="I554" s="4">
        <v>0</v>
      </c>
    </row>
    <row r="555" spans="1:9" x14ac:dyDescent="0.15">
      <c r="A555" s="1"/>
      <c r="C555" s="4"/>
      <c r="D555" s="8"/>
      <c r="E555" s="4"/>
      <c r="F555" s="8"/>
      <c r="G555" s="4"/>
      <c r="H555" s="8"/>
      <c r="I555" s="4"/>
    </row>
    <row r="556" spans="1:9" x14ac:dyDescent="0.15">
      <c r="A556" s="1" t="s">
        <v>25</v>
      </c>
      <c r="C556" s="4"/>
      <c r="D556" s="8"/>
      <c r="E556" s="4"/>
      <c r="F556" s="8"/>
      <c r="G556" s="4"/>
      <c r="H556" s="8"/>
      <c r="I556" s="4"/>
    </row>
    <row r="557" spans="1:9" x14ac:dyDescent="0.15">
      <c r="A557" s="2">
        <v>1</v>
      </c>
      <c r="B557" s="1" t="s">
        <v>89</v>
      </c>
      <c r="C557" s="4">
        <v>297</v>
      </c>
      <c r="D557" s="8">
        <v>15.98</v>
      </c>
      <c r="E557" s="4">
        <v>288</v>
      </c>
      <c r="F557" s="8">
        <v>23.96</v>
      </c>
      <c r="G557" s="4">
        <v>9</v>
      </c>
      <c r="H557" s="8">
        <v>1.37</v>
      </c>
      <c r="I557" s="4">
        <v>0</v>
      </c>
    </row>
    <row r="558" spans="1:9" x14ac:dyDescent="0.15">
      <c r="A558" s="2">
        <v>2</v>
      </c>
      <c r="B558" s="1" t="s">
        <v>90</v>
      </c>
      <c r="C558" s="4">
        <v>209</v>
      </c>
      <c r="D558" s="8">
        <v>11.24</v>
      </c>
      <c r="E558" s="4">
        <v>186</v>
      </c>
      <c r="F558" s="8">
        <v>15.47</v>
      </c>
      <c r="G558" s="4">
        <v>23</v>
      </c>
      <c r="H558" s="8">
        <v>3.5</v>
      </c>
      <c r="I558" s="4">
        <v>0</v>
      </c>
    </row>
    <row r="559" spans="1:9" x14ac:dyDescent="0.15">
      <c r="A559" s="2">
        <v>3</v>
      </c>
      <c r="B559" s="1" t="s">
        <v>84</v>
      </c>
      <c r="C559" s="4">
        <v>133</v>
      </c>
      <c r="D559" s="8">
        <v>7.15</v>
      </c>
      <c r="E559" s="4">
        <v>80</v>
      </c>
      <c r="F559" s="8">
        <v>6.66</v>
      </c>
      <c r="G559" s="4">
        <v>53</v>
      </c>
      <c r="H559" s="8">
        <v>8.07</v>
      </c>
      <c r="I559" s="4">
        <v>0</v>
      </c>
    </row>
    <row r="560" spans="1:9" x14ac:dyDescent="0.15">
      <c r="A560" s="2">
        <v>4</v>
      </c>
      <c r="B560" s="1" t="s">
        <v>74</v>
      </c>
      <c r="C560" s="4">
        <v>117</v>
      </c>
      <c r="D560" s="8">
        <v>6.29</v>
      </c>
      <c r="E560" s="4">
        <v>32</v>
      </c>
      <c r="F560" s="8">
        <v>2.66</v>
      </c>
      <c r="G560" s="4">
        <v>85</v>
      </c>
      <c r="H560" s="8">
        <v>12.94</v>
      </c>
      <c r="I560" s="4">
        <v>0</v>
      </c>
    </row>
    <row r="561" spans="1:9" x14ac:dyDescent="0.15">
      <c r="A561" s="2">
        <v>5</v>
      </c>
      <c r="B561" s="1" t="s">
        <v>82</v>
      </c>
      <c r="C561" s="4">
        <v>104</v>
      </c>
      <c r="D561" s="8">
        <v>5.59</v>
      </c>
      <c r="E561" s="4">
        <v>82</v>
      </c>
      <c r="F561" s="8">
        <v>6.82</v>
      </c>
      <c r="G561" s="4">
        <v>22</v>
      </c>
      <c r="H561" s="8">
        <v>3.35</v>
      </c>
      <c r="I561" s="4">
        <v>0</v>
      </c>
    </row>
    <row r="562" spans="1:9" x14ac:dyDescent="0.15">
      <c r="A562" s="2">
        <v>6</v>
      </c>
      <c r="B562" s="1" t="s">
        <v>92</v>
      </c>
      <c r="C562" s="4">
        <v>95</v>
      </c>
      <c r="D562" s="8">
        <v>5.1100000000000003</v>
      </c>
      <c r="E562" s="4">
        <v>77</v>
      </c>
      <c r="F562" s="8">
        <v>6.41</v>
      </c>
      <c r="G562" s="4">
        <v>18</v>
      </c>
      <c r="H562" s="8">
        <v>2.74</v>
      </c>
      <c r="I562" s="4">
        <v>0</v>
      </c>
    </row>
    <row r="563" spans="1:9" x14ac:dyDescent="0.15">
      <c r="A563" s="2">
        <v>7</v>
      </c>
      <c r="B563" s="1" t="s">
        <v>76</v>
      </c>
      <c r="C563" s="4">
        <v>91</v>
      </c>
      <c r="D563" s="8">
        <v>4.9000000000000004</v>
      </c>
      <c r="E563" s="4">
        <v>28</v>
      </c>
      <c r="F563" s="8">
        <v>2.33</v>
      </c>
      <c r="G563" s="4">
        <v>63</v>
      </c>
      <c r="H563" s="8">
        <v>9.59</v>
      </c>
      <c r="I563" s="4">
        <v>0</v>
      </c>
    </row>
    <row r="564" spans="1:9" x14ac:dyDescent="0.15">
      <c r="A564" s="2">
        <v>8</v>
      </c>
      <c r="B564" s="1" t="s">
        <v>86</v>
      </c>
      <c r="C564" s="4">
        <v>88</v>
      </c>
      <c r="D564" s="8">
        <v>4.7300000000000004</v>
      </c>
      <c r="E564" s="4">
        <v>53</v>
      </c>
      <c r="F564" s="8">
        <v>4.41</v>
      </c>
      <c r="G564" s="4">
        <v>35</v>
      </c>
      <c r="H564" s="8">
        <v>5.33</v>
      </c>
      <c r="I564" s="4">
        <v>0</v>
      </c>
    </row>
    <row r="565" spans="1:9" x14ac:dyDescent="0.15">
      <c r="A565" s="2">
        <v>9</v>
      </c>
      <c r="B565" s="1" t="s">
        <v>75</v>
      </c>
      <c r="C565" s="4">
        <v>83</v>
      </c>
      <c r="D565" s="8">
        <v>4.46</v>
      </c>
      <c r="E565" s="4">
        <v>44</v>
      </c>
      <c r="F565" s="8">
        <v>3.66</v>
      </c>
      <c r="G565" s="4">
        <v>39</v>
      </c>
      <c r="H565" s="8">
        <v>5.94</v>
      </c>
      <c r="I565" s="4">
        <v>0</v>
      </c>
    </row>
    <row r="566" spans="1:9" x14ac:dyDescent="0.15">
      <c r="A566" s="2">
        <v>10</v>
      </c>
      <c r="B566" s="1" t="s">
        <v>81</v>
      </c>
      <c r="C566" s="4">
        <v>60</v>
      </c>
      <c r="D566" s="8">
        <v>3.23</v>
      </c>
      <c r="E566" s="4">
        <v>45</v>
      </c>
      <c r="F566" s="8">
        <v>3.74</v>
      </c>
      <c r="G566" s="4">
        <v>15</v>
      </c>
      <c r="H566" s="8">
        <v>2.2799999999999998</v>
      </c>
      <c r="I566" s="4">
        <v>0</v>
      </c>
    </row>
    <row r="567" spans="1:9" x14ac:dyDescent="0.15">
      <c r="A567" s="2">
        <v>11</v>
      </c>
      <c r="B567" s="1" t="s">
        <v>83</v>
      </c>
      <c r="C567" s="4">
        <v>55</v>
      </c>
      <c r="D567" s="8">
        <v>2.96</v>
      </c>
      <c r="E567" s="4">
        <v>35</v>
      </c>
      <c r="F567" s="8">
        <v>2.91</v>
      </c>
      <c r="G567" s="4">
        <v>20</v>
      </c>
      <c r="H567" s="8">
        <v>3.04</v>
      </c>
      <c r="I567" s="4">
        <v>0</v>
      </c>
    </row>
    <row r="568" spans="1:9" x14ac:dyDescent="0.15">
      <c r="A568" s="2">
        <v>11</v>
      </c>
      <c r="B568" s="1" t="s">
        <v>93</v>
      </c>
      <c r="C568" s="4">
        <v>55</v>
      </c>
      <c r="D568" s="8">
        <v>2.96</v>
      </c>
      <c r="E568" s="4">
        <v>50</v>
      </c>
      <c r="F568" s="8">
        <v>4.16</v>
      </c>
      <c r="G568" s="4">
        <v>5</v>
      </c>
      <c r="H568" s="8">
        <v>0.76</v>
      </c>
      <c r="I568" s="4">
        <v>0</v>
      </c>
    </row>
    <row r="569" spans="1:9" x14ac:dyDescent="0.15">
      <c r="A569" s="2">
        <v>13</v>
      </c>
      <c r="B569" s="1" t="s">
        <v>87</v>
      </c>
      <c r="C569" s="4">
        <v>40</v>
      </c>
      <c r="D569" s="8">
        <v>2.15</v>
      </c>
      <c r="E569" s="4">
        <v>35</v>
      </c>
      <c r="F569" s="8">
        <v>2.91</v>
      </c>
      <c r="G569" s="4">
        <v>5</v>
      </c>
      <c r="H569" s="8">
        <v>0.76</v>
      </c>
      <c r="I569" s="4">
        <v>0</v>
      </c>
    </row>
    <row r="570" spans="1:9" x14ac:dyDescent="0.15">
      <c r="A570" s="2">
        <v>14</v>
      </c>
      <c r="B570" s="1" t="s">
        <v>88</v>
      </c>
      <c r="C570" s="4">
        <v>36</v>
      </c>
      <c r="D570" s="8">
        <v>1.94</v>
      </c>
      <c r="E570" s="4">
        <v>18</v>
      </c>
      <c r="F570" s="8">
        <v>1.5</v>
      </c>
      <c r="G570" s="4">
        <v>18</v>
      </c>
      <c r="H570" s="8">
        <v>2.74</v>
      </c>
      <c r="I570" s="4">
        <v>0</v>
      </c>
    </row>
    <row r="571" spans="1:9" x14ac:dyDescent="0.15">
      <c r="A571" s="2">
        <v>15</v>
      </c>
      <c r="B571" s="1" t="s">
        <v>78</v>
      </c>
      <c r="C571" s="4">
        <v>31</v>
      </c>
      <c r="D571" s="8">
        <v>1.67</v>
      </c>
      <c r="E571" s="4">
        <v>7</v>
      </c>
      <c r="F571" s="8">
        <v>0.57999999999999996</v>
      </c>
      <c r="G571" s="4">
        <v>24</v>
      </c>
      <c r="H571" s="8">
        <v>3.65</v>
      </c>
      <c r="I571" s="4">
        <v>0</v>
      </c>
    </row>
    <row r="572" spans="1:9" x14ac:dyDescent="0.15">
      <c r="A572" s="2">
        <v>16</v>
      </c>
      <c r="B572" s="1" t="s">
        <v>91</v>
      </c>
      <c r="C572" s="4">
        <v>29</v>
      </c>
      <c r="D572" s="8">
        <v>1.56</v>
      </c>
      <c r="E572" s="4">
        <v>19</v>
      </c>
      <c r="F572" s="8">
        <v>1.58</v>
      </c>
      <c r="G572" s="4">
        <v>10</v>
      </c>
      <c r="H572" s="8">
        <v>1.52</v>
      </c>
      <c r="I572" s="4">
        <v>0</v>
      </c>
    </row>
    <row r="573" spans="1:9" x14ac:dyDescent="0.15">
      <c r="A573" s="2">
        <v>17</v>
      </c>
      <c r="B573" s="1" t="s">
        <v>105</v>
      </c>
      <c r="C573" s="4">
        <v>19</v>
      </c>
      <c r="D573" s="8">
        <v>1.02</v>
      </c>
      <c r="E573" s="4">
        <v>3</v>
      </c>
      <c r="F573" s="8">
        <v>0.25</v>
      </c>
      <c r="G573" s="4">
        <v>16</v>
      </c>
      <c r="H573" s="8">
        <v>2.44</v>
      </c>
      <c r="I573" s="4">
        <v>0</v>
      </c>
    </row>
    <row r="574" spans="1:9" x14ac:dyDescent="0.15">
      <c r="A574" s="2">
        <v>18</v>
      </c>
      <c r="B574" s="1" t="s">
        <v>77</v>
      </c>
      <c r="C574" s="4">
        <v>18</v>
      </c>
      <c r="D574" s="8">
        <v>0.97</v>
      </c>
      <c r="E574" s="4">
        <v>7</v>
      </c>
      <c r="F574" s="8">
        <v>0.57999999999999996</v>
      </c>
      <c r="G574" s="4">
        <v>11</v>
      </c>
      <c r="H574" s="8">
        <v>1.67</v>
      </c>
      <c r="I574" s="4">
        <v>0</v>
      </c>
    </row>
    <row r="575" spans="1:9" x14ac:dyDescent="0.15">
      <c r="A575" s="2">
        <v>18</v>
      </c>
      <c r="B575" s="1" t="s">
        <v>85</v>
      </c>
      <c r="C575" s="4">
        <v>18</v>
      </c>
      <c r="D575" s="8">
        <v>0.97</v>
      </c>
      <c r="E575" s="4">
        <v>9</v>
      </c>
      <c r="F575" s="8">
        <v>0.75</v>
      </c>
      <c r="G575" s="4">
        <v>9</v>
      </c>
      <c r="H575" s="8">
        <v>1.37</v>
      </c>
      <c r="I575" s="4">
        <v>0</v>
      </c>
    </row>
    <row r="576" spans="1:9" x14ac:dyDescent="0.15">
      <c r="A576" s="2">
        <v>20</v>
      </c>
      <c r="B576" s="1" t="s">
        <v>101</v>
      </c>
      <c r="C576" s="4">
        <v>15</v>
      </c>
      <c r="D576" s="8">
        <v>0.81</v>
      </c>
      <c r="E576" s="4">
        <v>2</v>
      </c>
      <c r="F576" s="8">
        <v>0.17</v>
      </c>
      <c r="G576" s="4">
        <v>13</v>
      </c>
      <c r="H576" s="8">
        <v>1.98</v>
      </c>
      <c r="I576" s="4">
        <v>0</v>
      </c>
    </row>
    <row r="577" spans="1:9" x14ac:dyDescent="0.15">
      <c r="A577" s="2">
        <v>20</v>
      </c>
      <c r="B577" s="1" t="s">
        <v>114</v>
      </c>
      <c r="C577" s="4">
        <v>15</v>
      </c>
      <c r="D577" s="8">
        <v>0.81</v>
      </c>
      <c r="E577" s="4">
        <v>7</v>
      </c>
      <c r="F577" s="8">
        <v>0.57999999999999996</v>
      </c>
      <c r="G577" s="4">
        <v>8</v>
      </c>
      <c r="H577" s="8">
        <v>1.22</v>
      </c>
      <c r="I577" s="4">
        <v>0</v>
      </c>
    </row>
    <row r="578" spans="1:9" x14ac:dyDescent="0.15">
      <c r="A578" s="1"/>
      <c r="C578" s="4"/>
      <c r="D578" s="8"/>
      <c r="E578" s="4"/>
      <c r="F578" s="8"/>
      <c r="G578" s="4"/>
      <c r="H578" s="8"/>
      <c r="I578" s="4"/>
    </row>
    <row r="579" spans="1:9" x14ac:dyDescent="0.15">
      <c r="A579" s="1" t="s">
        <v>26</v>
      </c>
      <c r="C579" s="4"/>
      <c r="D579" s="8"/>
      <c r="E579" s="4"/>
      <c r="F579" s="8"/>
      <c r="G579" s="4"/>
      <c r="H579" s="8"/>
      <c r="I579" s="4"/>
    </row>
    <row r="580" spans="1:9" x14ac:dyDescent="0.15">
      <c r="A580" s="2">
        <v>1</v>
      </c>
      <c r="B580" s="1" t="s">
        <v>89</v>
      </c>
      <c r="C580" s="4">
        <v>268</v>
      </c>
      <c r="D580" s="8">
        <v>11.24</v>
      </c>
      <c r="E580" s="4">
        <v>248</v>
      </c>
      <c r="F580" s="8">
        <v>18.36</v>
      </c>
      <c r="G580" s="4">
        <v>20</v>
      </c>
      <c r="H580" s="8">
        <v>1.95</v>
      </c>
      <c r="I580" s="4">
        <v>0</v>
      </c>
    </row>
    <row r="581" spans="1:9" x14ac:dyDescent="0.15">
      <c r="A581" s="2">
        <v>2</v>
      </c>
      <c r="B581" s="1" t="s">
        <v>90</v>
      </c>
      <c r="C581" s="4">
        <v>263</v>
      </c>
      <c r="D581" s="8">
        <v>11.03</v>
      </c>
      <c r="E581" s="4">
        <v>218</v>
      </c>
      <c r="F581" s="8">
        <v>16.14</v>
      </c>
      <c r="G581" s="4">
        <v>45</v>
      </c>
      <c r="H581" s="8">
        <v>4.38</v>
      </c>
      <c r="I581" s="4">
        <v>0</v>
      </c>
    </row>
    <row r="582" spans="1:9" x14ac:dyDescent="0.15">
      <c r="A582" s="2">
        <v>3</v>
      </c>
      <c r="B582" s="1" t="s">
        <v>86</v>
      </c>
      <c r="C582" s="4">
        <v>220</v>
      </c>
      <c r="D582" s="8">
        <v>9.23</v>
      </c>
      <c r="E582" s="4">
        <v>92</v>
      </c>
      <c r="F582" s="8">
        <v>6.81</v>
      </c>
      <c r="G582" s="4">
        <v>127</v>
      </c>
      <c r="H582" s="8">
        <v>12.37</v>
      </c>
      <c r="I582" s="4">
        <v>1</v>
      </c>
    </row>
    <row r="583" spans="1:9" x14ac:dyDescent="0.15">
      <c r="A583" s="2">
        <v>4</v>
      </c>
      <c r="B583" s="1" t="s">
        <v>84</v>
      </c>
      <c r="C583" s="4">
        <v>169</v>
      </c>
      <c r="D583" s="8">
        <v>7.09</v>
      </c>
      <c r="E583" s="4">
        <v>108</v>
      </c>
      <c r="F583" s="8">
        <v>7.99</v>
      </c>
      <c r="G583" s="4">
        <v>60</v>
      </c>
      <c r="H583" s="8">
        <v>5.84</v>
      </c>
      <c r="I583" s="4">
        <v>1</v>
      </c>
    </row>
    <row r="584" spans="1:9" x14ac:dyDescent="0.15">
      <c r="A584" s="2">
        <v>5</v>
      </c>
      <c r="B584" s="1" t="s">
        <v>92</v>
      </c>
      <c r="C584" s="4">
        <v>146</v>
      </c>
      <c r="D584" s="8">
        <v>6.12</v>
      </c>
      <c r="E584" s="4">
        <v>104</v>
      </c>
      <c r="F584" s="8">
        <v>7.7</v>
      </c>
      <c r="G584" s="4">
        <v>41</v>
      </c>
      <c r="H584" s="8">
        <v>3.99</v>
      </c>
      <c r="I584" s="4">
        <v>1</v>
      </c>
    </row>
    <row r="585" spans="1:9" x14ac:dyDescent="0.15">
      <c r="A585" s="2">
        <v>6</v>
      </c>
      <c r="B585" s="1" t="s">
        <v>74</v>
      </c>
      <c r="C585" s="4">
        <v>130</v>
      </c>
      <c r="D585" s="8">
        <v>5.45</v>
      </c>
      <c r="E585" s="4">
        <v>29</v>
      </c>
      <c r="F585" s="8">
        <v>2.15</v>
      </c>
      <c r="G585" s="4">
        <v>101</v>
      </c>
      <c r="H585" s="8">
        <v>9.83</v>
      </c>
      <c r="I585" s="4">
        <v>0</v>
      </c>
    </row>
    <row r="586" spans="1:9" x14ac:dyDescent="0.15">
      <c r="A586" s="2">
        <v>7</v>
      </c>
      <c r="B586" s="1" t="s">
        <v>82</v>
      </c>
      <c r="C586" s="4">
        <v>127</v>
      </c>
      <c r="D586" s="8">
        <v>5.33</v>
      </c>
      <c r="E586" s="4">
        <v>92</v>
      </c>
      <c r="F586" s="8">
        <v>6.81</v>
      </c>
      <c r="G586" s="4">
        <v>34</v>
      </c>
      <c r="H586" s="8">
        <v>3.31</v>
      </c>
      <c r="I586" s="4">
        <v>1</v>
      </c>
    </row>
    <row r="587" spans="1:9" x14ac:dyDescent="0.15">
      <c r="A587" s="2">
        <v>8</v>
      </c>
      <c r="B587" s="1" t="s">
        <v>83</v>
      </c>
      <c r="C587" s="4">
        <v>102</v>
      </c>
      <c r="D587" s="8">
        <v>4.28</v>
      </c>
      <c r="E587" s="4">
        <v>67</v>
      </c>
      <c r="F587" s="8">
        <v>4.96</v>
      </c>
      <c r="G587" s="4">
        <v>35</v>
      </c>
      <c r="H587" s="8">
        <v>3.41</v>
      </c>
      <c r="I587" s="4">
        <v>0</v>
      </c>
    </row>
    <row r="588" spans="1:9" x14ac:dyDescent="0.15">
      <c r="A588" s="2">
        <v>9</v>
      </c>
      <c r="B588" s="1" t="s">
        <v>93</v>
      </c>
      <c r="C588" s="4">
        <v>75</v>
      </c>
      <c r="D588" s="8">
        <v>3.15</v>
      </c>
      <c r="E588" s="4">
        <v>68</v>
      </c>
      <c r="F588" s="8">
        <v>5.03</v>
      </c>
      <c r="G588" s="4">
        <v>7</v>
      </c>
      <c r="H588" s="8">
        <v>0.68</v>
      </c>
      <c r="I588" s="4">
        <v>0</v>
      </c>
    </row>
    <row r="589" spans="1:9" x14ac:dyDescent="0.15">
      <c r="A589" s="2">
        <v>10</v>
      </c>
      <c r="B589" s="1" t="s">
        <v>81</v>
      </c>
      <c r="C589" s="4">
        <v>70</v>
      </c>
      <c r="D589" s="8">
        <v>2.94</v>
      </c>
      <c r="E589" s="4">
        <v>29</v>
      </c>
      <c r="F589" s="8">
        <v>2.15</v>
      </c>
      <c r="G589" s="4">
        <v>41</v>
      </c>
      <c r="H589" s="8">
        <v>3.99</v>
      </c>
      <c r="I589" s="4">
        <v>0</v>
      </c>
    </row>
    <row r="590" spans="1:9" x14ac:dyDescent="0.15">
      <c r="A590" s="2">
        <v>11</v>
      </c>
      <c r="B590" s="1" t="s">
        <v>87</v>
      </c>
      <c r="C590" s="4">
        <v>66</v>
      </c>
      <c r="D590" s="8">
        <v>2.77</v>
      </c>
      <c r="E590" s="4">
        <v>56</v>
      </c>
      <c r="F590" s="8">
        <v>4.1500000000000004</v>
      </c>
      <c r="G590" s="4">
        <v>10</v>
      </c>
      <c r="H590" s="8">
        <v>0.97</v>
      </c>
      <c r="I590" s="4">
        <v>0</v>
      </c>
    </row>
    <row r="591" spans="1:9" x14ac:dyDescent="0.15">
      <c r="A591" s="2">
        <v>12</v>
      </c>
      <c r="B591" s="1" t="s">
        <v>76</v>
      </c>
      <c r="C591" s="4">
        <v>64</v>
      </c>
      <c r="D591" s="8">
        <v>2.68</v>
      </c>
      <c r="E591" s="4">
        <v>19</v>
      </c>
      <c r="F591" s="8">
        <v>1.41</v>
      </c>
      <c r="G591" s="4">
        <v>45</v>
      </c>
      <c r="H591" s="8">
        <v>4.38</v>
      </c>
      <c r="I591" s="4">
        <v>0</v>
      </c>
    </row>
    <row r="592" spans="1:9" x14ac:dyDescent="0.15">
      <c r="A592" s="2">
        <v>13</v>
      </c>
      <c r="B592" s="1" t="s">
        <v>75</v>
      </c>
      <c r="C592" s="4">
        <v>62</v>
      </c>
      <c r="D592" s="8">
        <v>2.6</v>
      </c>
      <c r="E592" s="4">
        <v>22</v>
      </c>
      <c r="F592" s="8">
        <v>1.63</v>
      </c>
      <c r="G592" s="4">
        <v>40</v>
      </c>
      <c r="H592" s="8">
        <v>3.89</v>
      </c>
      <c r="I592" s="4">
        <v>0</v>
      </c>
    </row>
    <row r="593" spans="1:9" x14ac:dyDescent="0.15">
      <c r="A593" s="2">
        <v>14</v>
      </c>
      <c r="B593" s="1" t="s">
        <v>85</v>
      </c>
      <c r="C593" s="4">
        <v>49</v>
      </c>
      <c r="D593" s="8">
        <v>2.06</v>
      </c>
      <c r="E593" s="4">
        <v>15</v>
      </c>
      <c r="F593" s="8">
        <v>1.1100000000000001</v>
      </c>
      <c r="G593" s="4">
        <v>34</v>
      </c>
      <c r="H593" s="8">
        <v>3.31</v>
      </c>
      <c r="I593" s="4">
        <v>0</v>
      </c>
    </row>
    <row r="594" spans="1:9" x14ac:dyDescent="0.15">
      <c r="A594" s="2">
        <v>15</v>
      </c>
      <c r="B594" s="1" t="s">
        <v>91</v>
      </c>
      <c r="C594" s="4">
        <v>45</v>
      </c>
      <c r="D594" s="8">
        <v>1.89</v>
      </c>
      <c r="E594" s="4">
        <v>19</v>
      </c>
      <c r="F594" s="8">
        <v>1.41</v>
      </c>
      <c r="G594" s="4">
        <v>26</v>
      </c>
      <c r="H594" s="8">
        <v>2.5299999999999998</v>
      </c>
      <c r="I594" s="4">
        <v>0</v>
      </c>
    </row>
    <row r="595" spans="1:9" x14ac:dyDescent="0.15">
      <c r="A595" s="2">
        <v>16</v>
      </c>
      <c r="B595" s="1" t="s">
        <v>88</v>
      </c>
      <c r="C595" s="4">
        <v>42</v>
      </c>
      <c r="D595" s="8">
        <v>1.76</v>
      </c>
      <c r="E595" s="4">
        <v>17</v>
      </c>
      <c r="F595" s="8">
        <v>1.26</v>
      </c>
      <c r="G595" s="4">
        <v>25</v>
      </c>
      <c r="H595" s="8">
        <v>2.4300000000000002</v>
      </c>
      <c r="I595" s="4">
        <v>0</v>
      </c>
    </row>
    <row r="596" spans="1:9" x14ac:dyDescent="0.15">
      <c r="A596" s="2">
        <v>17</v>
      </c>
      <c r="B596" s="1" t="s">
        <v>78</v>
      </c>
      <c r="C596" s="4">
        <v>37</v>
      </c>
      <c r="D596" s="8">
        <v>1.55</v>
      </c>
      <c r="E596" s="4">
        <v>3</v>
      </c>
      <c r="F596" s="8">
        <v>0.22</v>
      </c>
      <c r="G596" s="4">
        <v>34</v>
      </c>
      <c r="H596" s="8">
        <v>3.31</v>
      </c>
      <c r="I596" s="4">
        <v>0</v>
      </c>
    </row>
    <row r="597" spans="1:9" x14ac:dyDescent="0.15">
      <c r="A597" s="2">
        <v>18</v>
      </c>
      <c r="B597" s="1" t="s">
        <v>80</v>
      </c>
      <c r="C597" s="4">
        <v>34</v>
      </c>
      <c r="D597" s="8">
        <v>1.43</v>
      </c>
      <c r="E597" s="4">
        <v>14</v>
      </c>
      <c r="F597" s="8">
        <v>1.04</v>
      </c>
      <c r="G597" s="4">
        <v>20</v>
      </c>
      <c r="H597" s="8">
        <v>1.95</v>
      </c>
      <c r="I597" s="4">
        <v>0</v>
      </c>
    </row>
    <row r="598" spans="1:9" x14ac:dyDescent="0.15">
      <c r="A598" s="2">
        <v>19</v>
      </c>
      <c r="B598" s="1" t="s">
        <v>101</v>
      </c>
      <c r="C598" s="4">
        <v>33</v>
      </c>
      <c r="D598" s="8">
        <v>1.38</v>
      </c>
      <c r="E598" s="4">
        <v>11</v>
      </c>
      <c r="F598" s="8">
        <v>0.81</v>
      </c>
      <c r="G598" s="4">
        <v>22</v>
      </c>
      <c r="H598" s="8">
        <v>2.14</v>
      </c>
      <c r="I598" s="4">
        <v>0</v>
      </c>
    </row>
    <row r="599" spans="1:9" x14ac:dyDescent="0.15">
      <c r="A599" s="2">
        <v>20</v>
      </c>
      <c r="B599" s="1" t="s">
        <v>77</v>
      </c>
      <c r="C599" s="4">
        <v>32</v>
      </c>
      <c r="D599" s="8">
        <v>1.34</v>
      </c>
      <c r="E599" s="4">
        <v>13</v>
      </c>
      <c r="F599" s="8">
        <v>0.96</v>
      </c>
      <c r="G599" s="4">
        <v>19</v>
      </c>
      <c r="H599" s="8">
        <v>1.85</v>
      </c>
      <c r="I599" s="4">
        <v>0</v>
      </c>
    </row>
    <row r="600" spans="1:9" x14ac:dyDescent="0.15">
      <c r="A600" s="2">
        <v>20</v>
      </c>
      <c r="B600" s="1" t="s">
        <v>79</v>
      </c>
      <c r="C600" s="4">
        <v>32</v>
      </c>
      <c r="D600" s="8">
        <v>1.34</v>
      </c>
      <c r="E600" s="4">
        <v>3</v>
      </c>
      <c r="F600" s="8">
        <v>0.22</v>
      </c>
      <c r="G600" s="4">
        <v>29</v>
      </c>
      <c r="H600" s="8">
        <v>2.82</v>
      </c>
      <c r="I600" s="4">
        <v>0</v>
      </c>
    </row>
    <row r="601" spans="1:9" x14ac:dyDescent="0.15">
      <c r="A601" s="1"/>
      <c r="C601" s="4"/>
      <c r="D601" s="8"/>
      <c r="E601" s="4"/>
      <c r="F601" s="8"/>
      <c r="G601" s="4"/>
      <c r="H601" s="8"/>
      <c r="I601" s="4"/>
    </row>
    <row r="602" spans="1:9" x14ac:dyDescent="0.15">
      <c r="A602" s="1" t="s">
        <v>27</v>
      </c>
      <c r="C602" s="4"/>
      <c r="D602" s="8"/>
      <c r="E602" s="4"/>
      <c r="F602" s="8"/>
      <c r="G602" s="4"/>
      <c r="H602" s="8"/>
      <c r="I602" s="4"/>
    </row>
    <row r="603" spans="1:9" x14ac:dyDescent="0.15">
      <c r="A603" s="2">
        <v>1</v>
      </c>
      <c r="B603" s="1" t="s">
        <v>77</v>
      </c>
      <c r="C603" s="4">
        <v>127</v>
      </c>
      <c r="D603" s="8">
        <v>10.17</v>
      </c>
      <c r="E603" s="4">
        <v>98</v>
      </c>
      <c r="F603" s="8">
        <v>11.81</v>
      </c>
      <c r="G603" s="4">
        <v>29</v>
      </c>
      <c r="H603" s="8">
        <v>6.99</v>
      </c>
      <c r="I603" s="4">
        <v>0</v>
      </c>
    </row>
    <row r="604" spans="1:9" x14ac:dyDescent="0.15">
      <c r="A604" s="2">
        <v>2</v>
      </c>
      <c r="B604" s="1" t="s">
        <v>89</v>
      </c>
      <c r="C604" s="4">
        <v>102</v>
      </c>
      <c r="D604" s="8">
        <v>8.17</v>
      </c>
      <c r="E604" s="4">
        <v>97</v>
      </c>
      <c r="F604" s="8">
        <v>11.69</v>
      </c>
      <c r="G604" s="4">
        <v>5</v>
      </c>
      <c r="H604" s="8">
        <v>1.2</v>
      </c>
      <c r="I604" s="4">
        <v>0</v>
      </c>
    </row>
    <row r="605" spans="1:9" x14ac:dyDescent="0.15">
      <c r="A605" s="2">
        <v>3</v>
      </c>
      <c r="B605" s="1" t="s">
        <v>90</v>
      </c>
      <c r="C605" s="4">
        <v>96</v>
      </c>
      <c r="D605" s="8">
        <v>7.69</v>
      </c>
      <c r="E605" s="4">
        <v>81</v>
      </c>
      <c r="F605" s="8">
        <v>9.76</v>
      </c>
      <c r="G605" s="4">
        <v>15</v>
      </c>
      <c r="H605" s="8">
        <v>3.61</v>
      </c>
      <c r="I605" s="4">
        <v>0</v>
      </c>
    </row>
    <row r="606" spans="1:9" x14ac:dyDescent="0.15">
      <c r="A606" s="2">
        <v>4</v>
      </c>
      <c r="B606" s="1" t="s">
        <v>84</v>
      </c>
      <c r="C606" s="4">
        <v>94</v>
      </c>
      <c r="D606" s="8">
        <v>7.53</v>
      </c>
      <c r="E606" s="4">
        <v>53</v>
      </c>
      <c r="F606" s="8">
        <v>6.39</v>
      </c>
      <c r="G606" s="4">
        <v>41</v>
      </c>
      <c r="H606" s="8">
        <v>9.8800000000000008</v>
      </c>
      <c r="I606" s="4">
        <v>0</v>
      </c>
    </row>
    <row r="607" spans="1:9" x14ac:dyDescent="0.15">
      <c r="A607" s="2">
        <v>5</v>
      </c>
      <c r="B607" s="1" t="s">
        <v>74</v>
      </c>
      <c r="C607" s="4">
        <v>84</v>
      </c>
      <c r="D607" s="8">
        <v>6.73</v>
      </c>
      <c r="E607" s="4">
        <v>42</v>
      </c>
      <c r="F607" s="8">
        <v>5.0599999999999996</v>
      </c>
      <c r="G607" s="4">
        <v>42</v>
      </c>
      <c r="H607" s="8">
        <v>10.119999999999999</v>
      </c>
      <c r="I607" s="4">
        <v>0</v>
      </c>
    </row>
    <row r="608" spans="1:9" x14ac:dyDescent="0.15">
      <c r="A608" s="2">
        <v>6</v>
      </c>
      <c r="B608" s="1" t="s">
        <v>82</v>
      </c>
      <c r="C608" s="4">
        <v>48</v>
      </c>
      <c r="D608" s="8">
        <v>3.84</v>
      </c>
      <c r="E608" s="4">
        <v>37</v>
      </c>
      <c r="F608" s="8">
        <v>4.46</v>
      </c>
      <c r="G608" s="4">
        <v>9</v>
      </c>
      <c r="H608" s="8">
        <v>2.17</v>
      </c>
      <c r="I608" s="4">
        <v>2</v>
      </c>
    </row>
    <row r="609" spans="1:9" x14ac:dyDescent="0.15">
      <c r="A609" s="2">
        <v>6</v>
      </c>
      <c r="B609" s="1" t="s">
        <v>86</v>
      </c>
      <c r="C609" s="4">
        <v>48</v>
      </c>
      <c r="D609" s="8">
        <v>3.84</v>
      </c>
      <c r="E609" s="4">
        <v>27</v>
      </c>
      <c r="F609" s="8">
        <v>3.25</v>
      </c>
      <c r="G609" s="4">
        <v>21</v>
      </c>
      <c r="H609" s="8">
        <v>5.0599999999999996</v>
      </c>
      <c r="I609" s="4">
        <v>0</v>
      </c>
    </row>
    <row r="610" spans="1:9" x14ac:dyDescent="0.15">
      <c r="A610" s="2">
        <v>8</v>
      </c>
      <c r="B610" s="1" t="s">
        <v>83</v>
      </c>
      <c r="C610" s="4">
        <v>43</v>
      </c>
      <c r="D610" s="8">
        <v>3.44</v>
      </c>
      <c r="E610" s="4">
        <v>30</v>
      </c>
      <c r="F610" s="8">
        <v>3.61</v>
      </c>
      <c r="G610" s="4">
        <v>13</v>
      </c>
      <c r="H610" s="8">
        <v>3.13</v>
      </c>
      <c r="I610" s="4">
        <v>0</v>
      </c>
    </row>
    <row r="611" spans="1:9" x14ac:dyDescent="0.15">
      <c r="A611" s="2">
        <v>9</v>
      </c>
      <c r="B611" s="1" t="s">
        <v>92</v>
      </c>
      <c r="C611" s="4">
        <v>38</v>
      </c>
      <c r="D611" s="8">
        <v>3.04</v>
      </c>
      <c r="E611" s="4">
        <v>32</v>
      </c>
      <c r="F611" s="8">
        <v>3.86</v>
      </c>
      <c r="G611" s="4">
        <v>6</v>
      </c>
      <c r="H611" s="8">
        <v>1.45</v>
      </c>
      <c r="I611" s="4">
        <v>0</v>
      </c>
    </row>
    <row r="612" spans="1:9" x14ac:dyDescent="0.15">
      <c r="A612" s="2">
        <v>10</v>
      </c>
      <c r="B612" s="1" t="s">
        <v>80</v>
      </c>
      <c r="C612" s="4">
        <v>35</v>
      </c>
      <c r="D612" s="8">
        <v>2.8</v>
      </c>
      <c r="E612" s="4">
        <v>22</v>
      </c>
      <c r="F612" s="8">
        <v>2.65</v>
      </c>
      <c r="G612" s="4">
        <v>11</v>
      </c>
      <c r="H612" s="8">
        <v>2.65</v>
      </c>
      <c r="I612" s="4">
        <v>2</v>
      </c>
    </row>
    <row r="613" spans="1:9" x14ac:dyDescent="0.15">
      <c r="A613" s="2">
        <v>11</v>
      </c>
      <c r="B613" s="1" t="s">
        <v>75</v>
      </c>
      <c r="C613" s="4">
        <v>33</v>
      </c>
      <c r="D613" s="8">
        <v>2.64</v>
      </c>
      <c r="E613" s="4">
        <v>17</v>
      </c>
      <c r="F613" s="8">
        <v>2.0499999999999998</v>
      </c>
      <c r="G613" s="4">
        <v>16</v>
      </c>
      <c r="H613" s="8">
        <v>3.86</v>
      </c>
      <c r="I613" s="4">
        <v>0</v>
      </c>
    </row>
    <row r="614" spans="1:9" x14ac:dyDescent="0.15">
      <c r="A614" s="2">
        <v>12</v>
      </c>
      <c r="B614" s="1" t="s">
        <v>81</v>
      </c>
      <c r="C614" s="4">
        <v>32</v>
      </c>
      <c r="D614" s="8">
        <v>2.56</v>
      </c>
      <c r="E614" s="4">
        <v>25</v>
      </c>
      <c r="F614" s="8">
        <v>3.01</v>
      </c>
      <c r="G614" s="4">
        <v>7</v>
      </c>
      <c r="H614" s="8">
        <v>1.69</v>
      </c>
      <c r="I614" s="4">
        <v>0</v>
      </c>
    </row>
    <row r="615" spans="1:9" x14ac:dyDescent="0.15">
      <c r="A615" s="2">
        <v>13</v>
      </c>
      <c r="B615" s="1" t="s">
        <v>112</v>
      </c>
      <c r="C615" s="4">
        <v>31</v>
      </c>
      <c r="D615" s="8">
        <v>2.48</v>
      </c>
      <c r="E615" s="4">
        <v>25</v>
      </c>
      <c r="F615" s="8">
        <v>3.01</v>
      </c>
      <c r="G615" s="4">
        <v>6</v>
      </c>
      <c r="H615" s="8">
        <v>1.45</v>
      </c>
      <c r="I615" s="4">
        <v>0</v>
      </c>
    </row>
    <row r="616" spans="1:9" x14ac:dyDescent="0.15">
      <c r="A616" s="2">
        <v>14</v>
      </c>
      <c r="B616" s="1" t="s">
        <v>113</v>
      </c>
      <c r="C616" s="4">
        <v>29</v>
      </c>
      <c r="D616" s="8">
        <v>2.3199999999999998</v>
      </c>
      <c r="E616" s="4">
        <v>25</v>
      </c>
      <c r="F616" s="8">
        <v>3.01</v>
      </c>
      <c r="G616" s="4">
        <v>4</v>
      </c>
      <c r="H616" s="8">
        <v>0.96</v>
      </c>
      <c r="I616" s="4">
        <v>0</v>
      </c>
    </row>
    <row r="617" spans="1:9" x14ac:dyDescent="0.15">
      <c r="A617" s="2">
        <v>14</v>
      </c>
      <c r="B617" s="1" t="s">
        <v>78</v>
      </c>
      <c r="C617" s="4">
        <v>29</v>
      </c>
      <c r="D617" s="8">
        <v>2.3199999999999998</v>
      </c>
      <c r="E617" s="4">
        <v>14</v>
      </c>
      <c r="F617" s="8">
        <v>1.69</v>
      </c>
      <c r="G617" s="4">
        <v>15</v>
      </c>
      <c r="H617" s="8">
        <v>3.61</v>
      </c>
      <c r="I617" s="4">
        <v>0</v>
      </c>
    </row>
    <row r="618" spans="1:9" x14ac:dyDescent="0.15">
      <c r="A618" s="2">
        <v>16</v>
      </c>
      <c r="B618" s="1" t="s">
        <v>87</v>
      </c>
      <c r="C618" s="4">
        <v>27</v>
      </c>
      <c r="D618" s="8">
        <v>2.16</v>
      </c>
      <c r="E618" s="4">
        <v>20</v>
      </c>
      <c r="F618" s="8">
        <v>2.41</v>
      </c>
      <c r="G618" s="4">
        <v>7</v>
      </c>
      <c r="H618" s="8">
        <v>1.69</v>
      </c>
      <c r="I618" s="4">
        <v>0</v>
      </c>
    </row>
    <row r="619" spans="1:9" x14ac:dyDescent="0.15">
      <c r="A619" s="2">
        <v>17</v>
      </c>
      <c r="B619" s="1" t="s">
        <v>93</v>
      </c>
      <c r="C619" s="4">
        <v>26</v>
      </c>
      <c r="D619" s="8">
        <v>2.08</v>
      </c>
      <c r="E619" s="4">
        <v>26</v>
      </c>
      <c r="F619" s="8">
        <v>3.13</v>
      </c>
      <c r="G619" s="4">
        <v>0</v>
      </c>
      <c r="H619" s="8">
        <v>0</v>
      </c>
      <c r="I619" s="4">
        <v>0</v>
      </c>
    </row>
    <row r="620" spans="1:9" x14ac:dyDescent="0.15">
      <c r="A620" s="2">
        <v>18</v>
      </c>
      <c r="B620" s="1" t="s">
        <v>76</v>
      </c>
      <c r="C620" s="4">
        <v>24</v>
      </c>
      <c r="D620" s="8">
        <v>1.92</v>
      </c>
      <c r="E620" s="4">
        <v>17</v>
      </c>
      <c r="F620" s="8">
        <v>2.0499999999999998</v>
      </c>
      <c r="G620" s="4">
        <v>7</v>
      </c>
      <c r="H620" s="8">
        <v>1.69</v>
      </c>
      <c r="I620" s="4">
        <v>0</v>
      </c>
    </row>
    <row r="621" spans="1:9" x14ac:dyDescent="0.15">
      <c r="A621" s="2">
        <v>19</v>
      </c>
      <c r="B621" s="1" t="s">
        <v>101</v>
      </c>
      <c r="C621" s="4">
        <v>22</v>
      </c>
      <c r="D621" s="8">
        <v>1.76</v>
      </c>
      <c r="E621" s="4">
        <v>16</v>
      </c>
      <c r="F621" s="8">
        <v>1.93</v>
      </c>
      <c r="G621" s="4">
        <v>6</v>
      </c>
      <c r="H621" s="8">
        <v>1.45</v>
      </c>
      <c r="I621" s="4">
        <v>0</v>
      </c>
    </row>
    <row r="622" spans="1:9" x14ac:dyDescent="0.15">
      <c r="A622" s="2">
        <v>20</v>
      </c>
      <c r="B622" s="1" t="s">
        <v>88</v>
      </c>
      <c r="C622" s="4">
        <v>21</v>
      </c>
      <c r="D622" s="8">
        <v>1.68</v>
      </c>
      <c r="E622" s="4">
        <v>16</v>
      </c>
      <c r="F622" s="8">
        <v>1.93</v>
      </c>
      <c r="G622" s="4">
        <v>5</v>
      </c>
      <c r="H622" s="8">
        <v>1.2</v>
      </c>
      <c r="I622" s="4">
        <v>0</v>
      </c>
    </row>
    <row r="623" spans="1:9" x14ac:dyDescent="0.15">
      <c r="A623" s="1"/>
      <c r="C623" s="4"/>
      <c r="D623" s="8"/>
      <c r="E623" s="4"/>
      <c r="F623" s="8"/>
      <c r="G623" s="4"/>
      <c r="H623" s="8"/>
      <c r="I623" s="4"/>
    </row>
    <row r="624" spans="1:9" x14ac:dyDescent="0.15">
      <c r="A624" s="1" t="s">
        <v>28</v>
      </c>
      <c r="C624" s="4"/>
      <c r="D624" s="8"/>
      <c r="E624" s="4"/>
      <c r="F624" s="8"/>
      <c r="G624" s="4"/>
      <c r="H624" s="8"/>
      <c r="I624" s="4"/>
    </row>
    <row r="625" spans="1:9" x14ac:dyDescent="0.15">
      <c r="A625" s="2">
        <v>1</v>
      </c>
      <c r="B625" s="1" t="s">
        <v>90</v>
      </c>
      <c r="C625" s="4">
        <v>139</v>
      </c>
      <c r="D625" s="8">
        <v>10.11</v>
      </c>
      <c r="E625" s="4">
        <v>109</v>
      </c>
      <c r="F625" s="8">
        <v>16.57</v>
      </c>
      <c r="G625" s="4">
        <v>30</v>
      </c>
      <c r="H625" s="8">
        <v>4.1900000000000004</v>
      </c>
      <c r="I625" s="4">
        <v>0</v>
      </c>
    </row>
    <row r="626" spans="1:9" x14ac:dyDescent="0.15">
      <c r="A626" s="2">
        <v>2</v>
      </c>
      <c r="B626" s="1" t="s">
        <v>89</v>
      </c>
      <c r="C626" s="4">
        <v>128</v>
      </c>
      <c r="D626" s="8">
        <v>9.31</v>
      </c>
      <c r="E626" s="4">
        <v>106</v>
      </c>
      <c r="F626" s="8">
        <v>16.11</v>
      </c>
      <c r="G626" s="4">
        <v>22</v>
      </c>
      <c r="H626" s="8">
        <v>3.07</v>
      </c>
      <c r="I626" s="4">
        <v>0</v>
      </c>
    </row>
    <row r="627" spans="1:9" x14ac:dyDescent="0.15">
      <c r="A627" s="2">
        <v>3</v>
      </c>
      <c r="B627" s="1" t="s">
        <v>84</v>
      </c>
      <c r="C627" s="4">
        <v>117</v>
      </c>
      <c r="D627" s="8">
        <v>8.51</v>
      </c>
      <c r="E627" s="4">
        <v>61</v>
      </c>
      <c r="F627" s="8">
        <v>9.27</v>
      </c>
      <c r="G627" s="4">
        <v>56</v>
      </c>
      <c r="H627" s="8">
        <v>7.82</v>
      </c>
      <c r="I627" s="4">
        <v>0</v>
      </c>
    </row>
    <row r="628" spans="1:9" x14ac:dyDescent="0.15">
      <c r="A628" s="2">
        <v>4</v>
      </c>
      <c r="B628" s="1" t="s">
        <v>86</v>
      </c>
      <c r="C628" s="4">
        <v>110</v>
      </c>
      <c r="D628" s="8">
        <v>8</v>
      </c>
      <c r="E628" s="4">
        <v>37</v>
      </c>
      <c r="F628" s="8">
        <v>5.62</v>
      </c>
      <c r="G628" s="4">
        <v>73</v>
      </c>
      <c r="H628" s="8">
        <v>10.199999999999999</v>
      </c>
      <c r="I628" s="4">
        <v>0</v>
      </c>
    </row>
    <row r="629" spans="1:9" x14ac:dyDescent="0.15">
      <c r="A629" s="2">
        <v>5</v>
      </c>
      <c r="B629" s="1" t="s">
        <v>74</v>
      </c>
      <c r="C629" s="4">
        <v>102</v>
      </c>
      <c r="D629" s="8">
        <v>7.42</v>
      </c>
      <c r="E629" s="4">
        <v>15</v>
      </c>
      <c r="F629" s="8">
        <v>2.2799999999999998</v>
      </c>
      <c r="G629" s="4">
        <v>87</v>
      </c>
      <c r="H629" s="8">
        <v>12.15</v>
      </c>
      <c r="I629" s="4">
        <v>0</v>
      </c>
    </row>
    <row r="630" spans="1:9" x14ac:dyDescent="0.15">
      <c r="A630" s="2">
        <v>6</v>
      </c>
      <c r="B630" s="1" t="s">
        <v>82</v>
      </c>
      <c r="C630" s="4">
        <v>66</v>
      </c>
      <c r="D630" s="8">
        <v>4.8</v>
      </c>
      <c r="E630" s="4">
        <v>52</v>
      </c>
      <c r="F630" s="8">
        <v>7.9</v>
      </c>
      <c r="G630" s="4">
        <v>14</v>
      </c>
      <c r="H630" s="8">
        <v>1.96</v>
      </c>
      <c r="I630" s="4">
        <v>0</v>
      </c>
    </row>
    <row r="631" spans="1:9" x14ac:dyDescent="0.15">
      <c r="A631" s="2">
        <v>7</v>
      </c>
      <c r="B631" s="1" t="s">
        <v>92</v>
      </c>
      <c r="C631" s="4">
        <v>65</v>
      </c>
      <c r="D631" s="8">
        <v>4.7300000000000004</v>
      </c>
      <c r="E631" s="4">
        <v>42</v>
      </c>
      <c r="F631" s="8">
        <v>6.38</v>
      </c>
      <c r="G631" s="4">
        <v>23</v>
      </c>
      <c r="H631" s="8">
        <v>3.21</v>
      </c>
      <c r="I631" s="4">
        <v>0</v>
      </c>
    </row>
    <row r="632" spans="1:9" x14ac:dyDescent="0.15">
      <c r="A632" s="2">
        <v>8</v>
      </c>
      <c r="B632" s="1" t="s">
        <v>87</v>
      </c>
      <c r="C632" s="4">
        <v>54</v>
      </c>
      <c r="D632" s="8">
        <v>3.93</v>
      </c>
      <c r="E632" s="4">
        <v>36</v>
      </c>
      <c r="F632" s="8">
        <v>5.47</v>
      </c>
      <c r="G632" s="4">
        <v>18</v>
      </c>
      <c r="H632" s="8">
        <v>2.5099999999999998</v>
      </c>
      <c r="I632" s="4">
        <v>0</v>
      </c>
    </row>
    <row r="633" spans="1:9" x14ac:dyDescent="0.15">
      <c r="A633" s="2">
        <v>9</v>
      </c>
      <c r="B633" s="1" t="s">
        <v>76</v>
      </c>
      <c r="C633" s="4">
        <v>43</v>
      </c>
      <c r="D633" s="8">
        <v>3.13</v>
      </c>
      <c r="E633" s="4">
        <v>9</v>
      </c>
      <c r="F633" s="8">
        <v>1.37</v>
      </c>
      <c r="G633" s="4">
        <v>34</v>
      </c>
      <c r="H633" s="8">
        <v>4.75</v>
      </c>
      <c r="I633" s="4">
        <v>0</v>
      </c>
    </row>
    <row r="634" spans="1:9" x14ac:dyDescent="0.15">
      <c r="A634" s="2">
        <v>10</v>
      </c>
      <c r="B634" s="1" t="s">
        <v>93</v>
      </c>
      <c r="C634" s="4">
        <v>41</v>
      </c>
      <c r="D634" s="8">
        <v>2.98</v>
      </c>
      <c r="E634" s="4">
        <v>35</v>
      </c>
      <c r="F634" s="8">
        <v>5.32</v>
      </c>
      <c r="G634" s="4">
        <v>6</v>
      </c>
      <c r="H634" s="8">
        <v>0.84</v>
      </c>
      <c r="I634" s="4">
        <v>0</v>
      </c>
    </row>
    <row r="635" spans="1:9" x14ac:dyDescent="0.15">
      <c r="A635" s="2">
        <v>11</v>
      </c>
      <c r="B635" s="1" t="s">
        <v>83</v>
      </c>
      <c r="C635" s="4">
        <v>40</v>
      </c>
      <c r="D635" s="8">
        <v>2.91</v>
      </c>
      <c r="E635" s="4">
        <v>22</v>
      </c>
      <c r="F635" s="8">
        <v>3.34</v>
      </c>
      <c r="G635" s="4">
        <v>18</v>
      </c>
      <c r="H635" s="8">
        <v>2.5099999999999998</v>
      </c>
      <c r="I635" s="4">
        <v>0</v>
      </c>
    </row>
    <row r="636" spans="1:9" x14ac:dyDescent="0.15">
      <c r="A636" s="2">
        <v>12</v>
      </c>
      <c r="B636" s="1" t="s">
        <v>75</v>
      </c>
      <c r="C636" s="4">
        <v>39</v>
      </c>
      <c r="D636" s="8">
        <v>2.84</v>
      </c>
      <c r="E636" s="4">
        <v>16</v>
      </c>
      <c r="F636" s="8">
        <v>2.4300000000000002</v>
      </c>
      <c r="G636" s="4">
        <v>23</v>
      </c>
      <c r="H636" s="8">
        <v>3.21</v>
      </c>
      <c r="I636" s="4">
        <v>0</v>
      </c>
    </row>
    <row r="637" spans="1:9" x14ac:dyDescent="0.15">
      <c r="A637" s="2">
        <v>13</v>
      </c>
      <c r="B637" s="1" t="s">
        <v>81</v>
      </c>
      <c r="C637" s="4">
        <v>36</v>
      </c>
      <c r="D637" s="8">
        <v>2.62</v>
      </c>
      <c r="E637" s="4">
        <v>22</v>
      </c>
      <c r="F637" s="8">
        <v>3.34</v>
      </c>
      <c r="G637" s="4">
        <v>14</v>
      </c>
      <c r="H637" s="8">
        <v>1.96</v>
      </c>
      <c r="I637" s="4">
        <v>0</v>
      </c>
    </row>
    <row r="638" spans="1:9" x14ac:dyDescent="0.15">
      <c r="A638" s="2">
        <v>14</v>
      </c>
      <c r="B638" s="1" t="s">
        <v>88</v>
      </c>
      <c r="C638" s="4">
        <v>31</v>
      </c>
      <c r="D638" s="8">
        <v>2.25</v>
      </c>
      <c r="E638" s="4">
        <v>15</v>
      </c>
      <c r="F638" s="8">
        <v>2.2799999999999998</v>
      </c>
      <c r="G638" s="4">
        <v>16</v>
      </c>
      <c r="H638" s="8">
        <v>2.23</v>
      </c>
      <c r="I638" s="4">
        <v>0</v>
      </c>
    </row>
    <row r="639" spans="1:9" x14ac:dyDescent="0.15">
      <c r="A639" s="2">
        <v>15</v>
      </c>
      <c r="B639" s="1" t="s">
        <v>78</v>
      </c>
      <c r="C639" s="4">
        <v>29</v>
      </c>
      <c r="D639" s="8">
        <v>2.11</v>
      </c>
      <c r="E639" s="4">
        <v>6</v>
      </c>
      <c r="F639" s="8">
        <v>0.91</v>
      </c>
      <c r="G639" s="4">
        <v>23</v>
      </c>
      <c r="H639" s="8">
        <v>3.21</v>
      </c>
      <c r="I639" s="4">
        <v>0</v>
      </c>
    </row>
    <row r="640" spans="1:9" x14ac:dyDescent="0.15">
      <c r="A640" s="2">
        <v>16</v>
      </c>
      <c r="B640" s="1" t="s">
        <v>79</v>
      </c>
      <c r="C640" s="4">
        <v>28</v>
      </c>
      <c r="D640" s="8">
        <v>2.04</v>
      </c>
      <c r="E640" s="4">
        <v>0</v>
      </c>
      <c r="F640" s="8">
        <v>0</v>
      </c>
      <c r="G640" s="4">
        <v>28</v>
      </c>
      <c r="H640" s="8">
        <v>3.91</v>
      </c>
      <c r="I640" s="4">
        <v>0</v>
      </c>
    </row>
    <row r="641" spans="1:9" x14ac:dyDescent="0.15">
      <c r="A641" s="2">
        <v>17</v>
      </c>
      <c r="B641" s="1" t="s">
        <v>94</v>
      </c>
      <c r="C641" s="4">
        <v>26</v>
      </c>
      <c r="D641" s="8">
        <v>1.89</v>
      </c>
      <c r="E641" s="4">
        <v>1</v>
      </c>
      <c r="F641" s="8">
        <v>0.15</v>
      </c>
      <c r="G641" s="4">
        <v>24</v>
      </c>
      <c r="H641" s="8">
        <v>3.35</v>
      </c>
      <c r="I641" s="4">
        <v>1</v>
      </c>
    </row>
    <row r="642" spans="1:9" x14ac:dyDescent="0.15">
      <c r="A642" s="2">
        <v>18</v>
      </c>
      <c r="B642" s="1" t="s">
        <v>91</v>
      </c>
      <c r="C642" s="4">
        <v>24</v>
      </c>
      <c r="D642" s="8">
        <v>1.75</v>
      </c>
      <c r="E642" s="4">
        <v>7</v>
      </c>
      <c r="F642" s="8">
        <v>1.06</v>
      </c>
      <c r="G642" s="4">
        <v>17</v>
      </c>
      <c r="H642" s="8">
        <v>2.37</v>
      </c>
      <c r="I642" s="4">
        <v>0</v>
      </c>
    </row>
    <row r="643" spans="1:9" x14ac:dyDescent="0.15">
      <c r="A643" s="2">
        <v>19</v>
      </c>
      <c r="B643" s="1" t="s">
        <v>106</v>
      </c>
      <c r="C643" s="4">
        <v>20</v>
      </c>
      <c r="D643" s="8">
        <v>1.45</v>
      </c>
      <c r="E643" s="4">
        <v>14</v>
      </c>
      <c r="F643" s="8">
        <v>2.13</v>
      </c>
      <c r="G643" s="4">
        <v>6</v>
      </c>
      <c r="H643" s="8">
        <v>0.84</v>
      </c>
      <c r="I643" s="4">
        <v>0</v>
      </c>
    </row>
    <row r="644" spans="1:9" x14ac:dyDescent="0.15">
      <c r="A644" s="2">
        <v>20</v>
      </c>
      <c r="B644" s="1" t="s">
        <v>85</v>
      </c>
      <c r="C644" s="4">
        <v>16</v>
      </c>
      <c r="D644" s="8">
        <v>1.1599999999999999</v>
      </c>
      <c r="E644" s="4">
        <v>3</v>
      </c>
      <c r="F644" s="8">
        <v>0.46</v>
      </c>
      <c r="G644" s="4">
        <v>13</v>
      </c>
      <c r="H644" s="8">
        <v>1.82</v>
      </c>
      <c r="I644" s="4">
        <v>0</v>
      </c>
    </row>
    <row r="645" spans="1:9" x14ac:dyDescent="0.15">
      <c r="A645" s="2">
        <v>20</v>
      </c>
      <c r="B645" s="1" t="s">
        <v>97</v>
      </c>
      <c r="C645" s="4">
        <v>16</v>
      </c>
      <c r="D645" s="8">
        <v>1.1599999999999999</v>
      </c>
      <c r="E645" s="4">
        <v>0</v>
      </c>
      <c r="F645" s="8">
        <v>0</v>
      </c>
      <c r="G645" s="4">
        <v>16</v>
      </c>
      <c r="H645" s="8">
        <v>2.23</v>
      </c>
      <c r="I645" s="4">
        <v>0</v>
      </c>
    </row>
    <row r="646" spans="1:9" x14ac:dyDescent="0.15">
      <c r="A646" s="1"/>
      <c r="C646" s="4"/>
      <c r="D646" s="8"/>
      <c r="E646" s="4"/>
      <c r="F646" s="8"/>
      <c r="G646" s="4"/>
      <c r="H646" s="8"/>
      <c r="I646" s="4"/>
    </row>
    <row r="647" spans="1:9" x14ac:dyDescent="0.15">
      <c r="A647" s="1" t="s">
        <v>29</v>
      </c>
      <c r="C647" s="4"/>
      <c r="D647" s="8"/>
      <c r="E647" s="4"/>
      <c r="F647" s="8"/>
      <c r="G647" s="4"/>
      <c r="H647" s="8"/>
      <c r="I647" s="4"/>
    </row>
    <row r="648" spans="1:9" x14ac:dyDescent="0.15">
      <c r="A648" s="2">
        <v>1</v>
      </c>
      <c r="B648" s="1" t="s">
        <v>84</v>
      </c>
      <c r="C648" s="4">
        <v>94</v>
      </c>
      <c r="D648" s="8">
        <v>8.23</v>
      </c>
      <c r="E648" s="4">
        <v>42</v>
      </c>
      <c r="F648" s="8">
        <v>6.49</v>
      </c>
      <c r="G648" s="4">
        <v>52</v>
      </c>
      <c r="H648" s="8">
        <v>10.51</v>
      </c>
      <c r="I648" s="4">
        <v>0</v>
      </c>
    </row>
    <row r="649" spans="1:9" x14ac:dyDescent="0.15">
      <c r="A649" s="2">
        <v>2</v>
      </c>
      <c r="B649" s="1" t="s">
        <v>90</v>
      </c>
      <c r="C649" s="4">
        <v>93</v>
      </c>
      <c r="D649" s="8">
        <v>8.14</v>
      </c>
      <c r="E649" s="4">
        <v>77</v>
      </c>
      <c r="F649" s="8">
        <v>11.9</v>
      </c>
      <c r="G649" s="4">
        <v>16</v>
      </c>
      <c r="H649" s="8">
        <v>3.23</v>
      </c>
      <c r="I649" s="4">
        <v>0</v>
      </c>
    </row>
    <row r="650" spans="1:9" x14ac:dyDescent="0.15">
      <c r="A650" s="2">
        <v>3</v>
      </c>
      <c r="B650" s="1" t="s">
        <v>77</v>
      </c>
      <c r="C650" s="4">
        <v>90</v>
      </c>
      <c r="D650" s="8">
        <v>7.88</v>
      </c>
      <c r="E650" s="4">
        <v>51</v>
      </c>
      <c r="F650" s="8">
        <v>7.88</v>
      </c>
      <c r="G650" s="4">
        <v>39</v>
      </c>
      <c r="H650" s="8">
        <v>7.88</v>
      </c>
      <c r="I650" s="4">
        <v>0</v>
      </c>
    </row>
    <row r="651" spans="1:9" x14ac:dyDescent="0.15">
      <c r="A651" s="2">
        <v>4</v>
      </c>
      <c r="B651" s="1" t="s">
        <v>74</v>
      </c>
      <c r="C651" s="4">
        <v>81</v>
      </c>
      <c r="D651" s="8">
        <v>7.09</v>
      </c>
      <c r="E651" s="4">
        <v>29</v>
      </c>
      <c r="F651" s="8">
        <v>4.4800000000000004</v>
      </c>
      <c r="G651" s="4">
        <v>52</v>
      </c>
      <c r="H651" s="8">
        <v>10.51</v>
      </c>
      <c r="I651" s="4">
        <v>0</v>
      </c>
    </row>
    <row r="652" spans="1:9" x14ac:dyDescent="0.15">
      <c r="A652" s="2">
        <v>5</v>
      </c>
      <c r="B652" s="1" t="s">
        <v>89</v>
      </c>
      <c r="C652" s="4">
        <v>72</v>
      </c>
      <c r="D652" s="8">
        <v>6.3</v>
      </c>
      <c r="E652" s="4">
        <v>66</v>
      </c>
      <c r="F652" s="8">
        <v>10.199999999999999</v>
      </c>
      <c r="G652" s="4">
        <v>6</v>
      </c>
      <c r="H652" s="8">
        <v>1.21</v>
      </c>
      <c r="I652" s="4">
        <v>0</v>
      </c>
    </row>
    <row r="653" spans="1:9" x14ac:dyDescent="0.15">
      <c r="A653" s="2">
        <v>6</v>
      </c>
      <c r="B653" s="1" t="s">
        <v>101</v>
      </c>
      <c r="C653" s="4">
        <v>50</v>
      </c>
      <c r="D653" s="8">
        <v>4.38</v>
      </c>
      <c r="E653" s="4">
        <v>21</v>
      </c>
      <c r="F653" s="8">
        <v>3.25</v>
      </c>
      <c r="G653" s="4">
        <v>29</v>
      </c>
      <c r="H653" s="8">
        <v>5.86</v>
      </c>
      <c r="I653" s="4">
        <v>0</v>
      </c>
    </row>
    <row r="654" spans="1:9" x14ac:dyDescent="0.15">
      <c r="A654" s="2">
        <v>7</v>
      </c>
      <c r="B654" s="1" t="s">
        <v>83</v>
      </c>
      <c r="C654" s="4">
        <v>43</v>
      </c>
      <c r="D654" s="8">
        <v>3.77</v>
      </c>
      <c r="E654" s="4">
        <v>31</v>
      </c>
      <c r="F654" s="8">
        <v>4.79</v>
      </c>
      <c r="G654" s="4">
        <v>12</v>
      </c>
      <c r="H654" s="8">
        <v>2.42</v>
      </c>
      <c r="I654" s="4">
        <v>0</v>
      </c>
    </row>
    <row r="655" spans="1:9" x14ac:dyDescent="0.15">
      <c r="A655" s="2">
        <v>8</v>
      </c>
      <c r="B655" s="1" t="s">
        <v>75</v>
      </c>
      <c r="C655" s="4">
        <v>41</v>
      </c>
      <c r="D655" s="8">
        <v>3.59</v>
      </c>
      <c r="E655" s="4">
        <v>34</v>
      </c>
      <c r="F655" s="8">
        <v>5.26</v>
      </c>
      <c r="G655" s="4">
        <v>7</v>
      </c>
      <c r="H655" s="8">
        <v>1.41</v>
      </c>
      <c r="I655" s="4">
        <v>0</v>
      </c>
    </row>
    <row r="656" spans="1:9" x14ac:dyDescent="0.15">
      <c r="A656" s="2">
        <v>8</v>
      </c>
      <c r="B656" s="1" t="s">
        <v>82</v>
      </c>
      <c r="C656" s="4">
        <v>41</v>
      </c>
      <c r="D656" s="8">
        <v>3.59</v>
      </c>
      <c r="E656" s="4">
        <v>33</v>
      </c>
      <c r="F656" s="8">
        <v>5.0999999999999996</v>
      </c>
      <c r="G656" s="4">
        <v>8</v>
      </c>
      <c r="H656" s="8">
        <v>1.62</v>
      </c>
      <c r="I656" s="4">
        <v>0</v>
      </c>
    </row>
    <row r="657" spans="1:9" x14ac:dyDescent="0.15">
      <c r="A657" s="2">
        <v>10</v>
      </c>
      <c r="B657" s="1" t="s">
        <v>76</v>
      </c>
      <c r="C657" s="4">
        <v>38</v>
      </c>
      <c r="D657" s="8">
        <v>3.33</v>
      </c>
      <c r="E657" s="4">
        <v>19</v>
      </c>
      <c r="F657" s="8">
        <v>2.94</v>
      </c>
      <c r="G657" s="4">
        <v>19</v>
      </c>
      <c r="H657" s="8">
        <v>3.84</v>
      </c>
      <c r="I657" s="4">
        <v>0</v>
      </c>
    </row>
    <row r="658" spans="1:9" x14ac:dyDescent="0.15">
      <c r="A658" s="2">
        <v>11</v>
      </c>
      <c r="B658" s="1" t="s">
        <v>110</v>
      </c>
      <c r="C658" s="4">
        <v>36</v>
      </c>
      <c r="D658" s="8">
        <v>3.15</v>
      </c>
      <c r="E658" s="4">
        <v>23</v>
      </c>
      <c r="F658" s="8">
        <v>3.55</v>
      </c>
      <c r="G658" s="4">
        <v>13</v>
      </c>
      <c r="H658" s="8">
        <v>2.63</v>
      </c>
      <c r="I658" s="4">
        <v>0</v>
      </c>
    </row>
    <row r="659" spans="1:9" x14ac:dyDescent="0.15">
      <c r="A659" s="2">
        <v>12</v>
      </c>
      <c r="B659" s="1" t="s">
        <v>81</v>
      </c>
      <c r="C659" s="4">
        <v>34</v>
      </c>
      <c r="D659" s="8">
        <v>2.98</v>
      </c>
      <c r="E659" s="4">
        <v>14</v>
      </c>
      <c r="F659" s="8">
        <v>2.16</v>
      </c>
      <c r="G659" s="4">
        <v>20</v>
      </c>
      <c r="H659" s="8">
        <v>4.04</v>
      </c>
      <c r="I659" s="4">
        <v>0</v>
      </c>
    </row>
    <row r="660" spans="1:9" x14ac:dyDescent="0.15">
      <c r="A660" s="2">
        <v>13</v>
      </c>
      <c r="B660" s="1" t="s">
        <v>116</v>
      </c>
      <c r="C660" s="4">
        <v>32</v>
      </c>
      <c r="D660" s="8">
        <v>2.8</v>
      </c>
      <c r="E660" s="4">
        <v>17</v>
      </c>
      <c r="F660" s="8">
        <v>2.63</v>
      </c>
      <c r="G660" s="4">
        <v>15</v>
      </c>
      <c r="H660" s="8">
        <v>3.03</v>
      </c>
      <c r="I660" s="4">
        <v>0</v>
      </c>
    </row>
    <row r="661" spans="1:9" x14ac:dyDescent="0.15">
      <c r="A661" s="2">
        <v>14</v>
      </c>
      <c r="B661" s="1" t="s">
        <v>115</v>
      </c>
      <c r="C661" s="4">
        <v>28</v>
      </c>
      <c r="D661" s="8">
        <v>2.4500000000000002</v>
      </c>
      <c r="E661" s="4">
        <v>16</v>
      </c>
      <c r="F661" s="8">
        <v>2.4700000000000002</v>
      </c>
      <c r="G661" s="4">
        <v>12</v>
      </c>
      <c r="H661" s="8">
        <v>2.42</v>
      </c>
      <c r="I661" s="4">
        <v>0</v>
      </c>
    </row>
    <row r="662" spans="1:9" x14ac:dyDescent="0.15">
      <c r="A662" s="2">
        <v>15</v>
      </c>
      <c r="B662" s="1" t="s">
        <v>117</v>
      </c>
      <c r="C662" s="4">
        <v>23</v>
      </c>
      <c r="D662" s="8">
        <v>2.0099999999999998</v>
      </c>
      <c r="E662" s="4">
        <v>12</v>
      </c>
      <c r="F662" s="8">
        <v>1.85</v>
      </c>
      <c r="G662" s="4">
        <v>11</v>
      </c>
      <c r="H662" s="8">
        <v>2.2200000000000002</v>
      </c>
      <c r="I662" s="4">
        <v>0</v>
      </c>
    </row>
    <row r="663" spans="1:9" x14ac:dyDescent="0.15">
      <c r="A663" s="2">
        <v>15</v>
      </c>
      <c r="B663" s="1" t="s">
        <v>88</v>
      </c>
      <c r="C663" s="4">
        <v>23</v>
      </c>
      <c r="D663" s="8">
        <v>2.0099999999999998</v>
      </c>
      <c r="E663" s="4">
        <v>9</v>
      </c>
      <c r="F663" s="8">
        <v>1.39</v>
      </c>
      <c r="G663" s="4">
        <v>14</v>
      </c>
      <c r="H663" s="8">
        <v>2.83</v>
      </c>
      <c r="I663" s="4">
        <v>0</v>
      </c>
    </row>
    <row r="664" spans="1:9" x14ac:dyDescent="0.15">
      <c r="A664" s="2">
        <v>17</v>
      </c>
      <c r="B664" s="1" t="s">
        <v>87</v>
      </c>
      <c r="C664" s="4">
        <v>20</v>
      </c>
      <c r="D664" s="8">
        <v>1.75</v>
      </c>
      <c r="E664" s="4">
        <v>17</v>
      </c>
      <c r="F664" s="8">
        <v>2.63</v>
      </c>
      <c r="G664" s="4">
        <v>3</v>
      </c>
      <c r="H664" s="8">
        <v>0.61</v>
      </c>
      <c r="I664" s="4">
        <v>0</v>
      </c>
    </row>
    <row r="665" spans="1:9" x14ac:dyDescent="0.15">
      <c r="A665" s="2">
        <v>17</v>
      </c>
      <c r="B665" s="1" t="s">
        <v>92</v>
      </c>
      <c r="C665" s="4">
        <v>20</v>
      </c>
      <c r="D665" s="8">
        <v>1.75</v>
      </c>
      <c r="E665" s="4">
        <v>13</v>
      </c>
      <c r="F665" s="8">
        <v>2.0099999999999998</v>
      </c>
      <c r="G665" s="4">
        <v>7</v>
      </c>
      <c r="H665" s="8">
        <v>1.41</v>
      </c>
      <c r="I665" s="4">
        <v>0</v>
      </c>
    </row>
    <row r="666" spans="1:9" x14ac:dyDescent="0.15">
      <c r="A666" s="2">
        <v>17</v>
      </c>
      <c r="B666" s="1" t="s">
        <v>93</v>
      </c>
      <c r="C666" s="4">
        <v>20</v>
      </c>
      <c r="D666" s="8">
        <v>1.75</v>
      </c>
      <c r="E666" s="4">
        <v>19</v>
      </c>
      <c r="F666" s="8">
        <v>2.94</v>
      </c>
      <c r="G666" s="4">
        <v>1</v>
      </c>
      <c r="H666" s="8">
        <v>0.2</v>
      </c>
      <c r="I666" s="4">
        <v>0</v>
      </c>
    </row>
    <row r="667" spans="1:9" x14ac:dyDescent="0.15">
      <c r="A667" s="2">
        <v>20</v>
      </c>
      <c r="B667" s="1" t="s">
        <v>78</v>
      </c>
      <c r="C667" s="4">
        <v>15</v>
      </c>
      <c r="D667" s="8">
        <v>1.31</v>
      </c>
      <c r="E667" s="4">
        <v>4</v>
      </c>
      <c r="F667" s="8">
        <v>0.62</v>
      </c>
      <c r="G667" s="4">
        <v>11</v>
      </c>
      <c r="H667" s="8">
        <v>2.2200000000000002</v>
      </c>
      <c r="I667" s="4">
        <v>0</v>
      </c>
    </row>
    <row r="668" spans="1:9" x14ac:dyDescent="0.15">
      <c r="A668" s="2">
        <v>20</v>
      </c>
      <c r="B668" s="1" t="s">
        <v>80</v>
      </c>
      <c r="C668" s="4">
        <v>15</v>
      </c>
      <c r="D668" s="8">
        <v>1.31</v>
      </c>
      <c r="E668" s="4">
        <v>5</v>
      </c>
      <c r="F668" s="8">
        <v>0.77</v>
      </c>
      <c r="G668" s="4">
        <v>10</v>
      </c>
      <c r="H668" s="8">
        <v>2.02</v>
      </c>
      <c r="I668" s="4">
        <v>0</v>
      </c>
    </row>
    <row r="669" spans="1:9" x14ac:dyDescent="0.15">
      <c r="A669" s="2">
        <v>20</v>
      </c>
      <c r="B669" s="1" t="s">
        <v>106</v>
      </c>
      <c r="C669" s="4">
        <v>15</v>
      </c>
      <c r="D669" s="8">
        <v>1.31</v>
      </c>
      <c r="E669" s="4">
        <v>14</v>
      </c>
      <c r="F669" s="8">
        <v>2.16</v>
      </c>
      <c r="G669" s="4">
        <v>1</v>
      </c>
      <c r="H669" s="8">
        <v>0.2</v>
      </c>
      <c r="I669" s="4">
        <v>0</v>
      </c>
    </row>
    <row r="670" spans="1:9" x14ac:dyDescent="0.15">
      <c r="A670" s="1"/>
      <c r="C670" s="4"/>
      <c r="D670" s="8"/>
      <c r="E670" s="4"/>
      <c r="F670" s="8"/>
      <c r="G670" s="4"/>
      <c r="H670" s="8"/>
      <c r="I670" s="4"/>
    </row>
    <row r="671" spans="1:9" x14ac:dyDescent="0.15">
      <c r="A671" s="1" t="s">
        <v>30</v>
      </c>
      <c r="C671" s="4"/>
      <c r="D671" s="8"/>
      <c r="E671" s="4"/>
      <c r="F671" s="8"/>
      <c r="G671" s="4"/>
      <c r="H671" s="8"/>
      <c r="I671" s="4"/>
    </row>
    <row r="672" spans="1:9" x14ac:dyDescent="0.15">
      <c r="A672" s="2">
        <v>1</v>
      </c>
      <c r="B672" s="1" t="s">
        <v>74</v>
      </c>
      <c r="C672" s="4">
        <v>122</v>
      </c>
      <c r="D672" s="8">
        <v>10.64</v>
      </c>
      <c r="E672" s="4">
        <v>63</v>
      </c>
      <c r="F672" s="8">
        <v>7.81</v>
      </c>
      <c r="G672" s="4">
        <v>59</v>
      </c>
      <c r="H672" s="8">
        <v>17.510000000000002</v>
      </c>
      <c r="I672" s="4">
        <v>0</v>
      </c>
    </row>
    <row r="673" spans="1:9" x14ac:dyDescent="0.15">
      <c r="A673" s="2">
        <v>2</v>
      </c>
      <c r="B673" s="1" t="s">
        <v>84</v>
      </c>
      <c r="C673" s="4">
        <v>115</v>
      </c>
      <c r="D673" s="8">
        <v>10.029999999999999</v>
      </c>
      <c r="E673" s="4">
        <v>75</v>
      </c>
      <c r="F673" s="8">
        <v>9.2899999999999991</v>
      </c>
      <c r="G673" s="4">
        <v>40</v>
      </c>
      <c r="H673" s="8">
        <v>11.87</v>
      </c>
      <c r="I673" s="4">
        <v>0</v>
      </c>
    </row>
    <row r="674" spans="1:9" x14ac:dyDescent="0.15">
      <c r="A674" s="2">
        <v>3</v>
      </c>
      <c r="B674" s="1" t="s">
        <v>89</v>
      </c>
      <c r="C674" s="4">
        <v>105</v>
      </c>
      <c r="D674" s="8">
        <v>9.15</v>
      </c>
      <c r="E674" s="4">
        <v>98</v>
      </c>
      <c r="F674" s="8">
        <v>12.14</v>
      </c>
      <c r="G674" s="4">
        <v>7</v>
      </c>
      <c r="H674" s="8">
        <v>2.08</v>
      </c>
      <c r="I674" s="4">
        <v>0</v>
      </c>
    </row>
    <row r="675" spans="1:9" x14ac:dyDescent="0.15">
      <c r="A675" s="2">
        <v>4</v>
      </c>
      <c r="B675" s="1" t="s">
        <v>82</v>
      </c>
      <c r="C675" s="4">
        <v>88</v>
      </c>
      <c r="D675" s="8">
        <v>7.67</v>
      </c>
      <c r="E675" s="4">
        <v>71</v>
      </c>
      <c r="F675" s="8">
        <v>8.8000000000000007</v>
      </c>
      <c r="G675" s="4">
        <v>17</v>
      </c>
      <c r="H675" s="8">
        <v>5.04</v>
      </c>
      <c r="I675" s="4">
        <v>0</v>
      </c>
    </row>
    <row r="676" spans="1:9" x14ac:dyDescent="0.15">
      <c r="A676" s="2">
        <v>5</v>
      </c>
      <c r="B676" s="1" t="s">
        <v>90</v>
      </c>
      <c r="C676" s="4">
        <v>86</v>
      </c>
      <c r="D676" s="8">
        <v>7.5</v>
      </c>
      <c r="E676" s="4">
        <v>79</v>
      </c>
      <c r="F676" s="8">
        <v>9.7899999999999991</v>
      </c>
      <c r="G676" s="4">
        <v>7</v>
      </c>
      <c r="H676" s="8">
        <v>2.08</v>
      </c>
      <c r="I676" s="4">
        <v>0</v>
      </c>
    </row>
    <row r="677" spans="1:9" x14ac:dyDescent="0.15">
      <c r="A677" s="2">
        <v>6</v>
      </c>
      <c r="B677" s="1" t="s">
        <v>75</v>
      </c>
      <c r="C677" s="4">
        <v>61</v>
      </c>
      <c r="D677" s="8">
        <v>5.32</v>
      </c>
      <c r="E677" s="4">
        <v>54</v>
      </c>
      <c r="F677" s="8">
        <v>6.69</v>
      </c>
      <c r="G677" s="4">
        <v>7</v>
      </c>
      <c r="H677" s="8">
        <v>2.08</v>
      </c>
      <c r="I677" s="4">
        <v>0</v>
      </c>
    </row>
    <row r="678" spans="1:9" x14ac:dyDescent="0.15">
      <c r="A678" s="2">
        <v>7</v>
      </c>
      <c r="B678" s="1" t="s">
        <v>118</v>
      </c>
      <c r="C678" s="4">
        <v>59</v>
      </c>
      <c r="D678" s="8">
        <v>5.14</v>
      </c>
      <c r="E678" s="4">
        <v>54</v>
      </c>
      <c r="F678" s="8">
        <v>6.69</v>
      </c>
      <c r="G678" s="4">
        <v>5</v>
      </c>
      <c r="H678" s="8">
        <v>1.48</v>
      </c>
      <c r="I678" s="4">
        <v>0</v>
      </c>
    </row>
    <row r="679" spans="1:9" x14ac:dyDescent="0.15">
      <c r="A679" s="2">
        <v>8</v>
      </c>
      <c r="B679" s="1" t="s">
        <v>86</v>
      </c>
      <c r="C679" s="4">
        <v>45</v>
      </c>
      <c r="D679" s="8">
        <v>3.92</v>
      </c>
      <c r="E679" s="4">
        <v>37</v>
      </c>
      <c r="F679" s="8">
        <v>4.58</v>
      </c>
      <c r="G679" s="4">
        <v>8</v>
      </c>
      <c r="H679" s="8">
        <v>2.37</v>
      </c>
      <c r="I679" s="4">
        <v>0</v>
      </c>
    </row>
    <row r="680" spans="1:9" x14ac:dyDescent="0.15">
      <c r="A680" s="2">
        <v>9</v>
      </c>
      <c r="B680" s="1" t="s">
        <v>76</v>
      </c>
      <c r="C680" s="4">
        <v>43</v>
      </c>
      <c r="D680" s="8">
        <v>3.75</v>
      </c>
      <c r="E680" s="4">
        <v>34</v>
      </c>
      <c r="F680" s="8">
        <v>4.21</v>
      </c>
      <c r="G680" s="4">
        <v>9</v>
      </c>
      <c r="H680" s="8">
        <v>2.67</v>
      </c>
      <c r="I680" s="4">
        <v>0</v>
      </c>
    </row>
    <row r="681" spans="1:9" x14ac:dyDescent="0.15">
      <c r="A681" s="2">
        <v>10</v>
      </c>
      <c r="B681" s="1" t="s">
        <v>83</v>
      </c>
      <c r="C681" s="4">
        <v>38</v>
      </c>
      <c r="D681" s="8">
        <v>3.31</v>
      </c>
      <c r="E681" s="4">
        <v>27</v>
      </c>
      <c r="F681" s="8">
        <v>3.35</v>
      </c>
      <c r="G681" s="4">
        <v>11</v>
      </c>
      <c r="H681" s="8">
        <v>3.26</v>
      </c>
      <c r="I681" s="4">
        <v>0</v>
      </c>
    </row>
    <row r="682" spans="1:9" x14ac:dyDescent="0.15">
      <c r="A682" s="2">
        <v>11</v>
      </c>
      <c r="B682" s="1" t="s">
        <v>81</v>
      </c>
      <c r="C682" s="4">
        <v>37</v>
      </c>
      <c r="D682" s="8">
        <v>3.23</v>
      </c>
      <c r="E682" s="4">
        <v>27</v>
      </c>
      <c r="F682" s="8">
        <v>3.35</v>
      </c>
      <c r="G682" s="4">
        <v>10</v>
      </c>
      <c r="H682" s="8">
        <v>2.97</v>
      </c>
      <c r="I682" s="4">
        <v>0</v>
      </c>
    </row>
    <row r="683" spans="1:9" x14ac:dyDescent="0.15">
      <c r="A683" s="2">
        <v>12</v>
      </c>
      <c r="B683" s="1" t="s">
        <v>92</v>
      </c>
      <c r="C683" s="4">
        <v>33</v>
      </c>
      <c r="D683" s="8">
        <v>2.88</v>
      </c>
      <c r="E683" s="4">
        <v>24</v>
      </c>
      <c r="F683" s="8">
        <v>2.97</v>
      </c>
      <c r="G683" s="4">
        <v>8</v>
      </c>
      <c r="H683" s="8">
        <v>2.37</v>
      </c>
      <c r="I683" s="4">
        <v>1</v>
      </c>
    </row>
    <row r="684" spans="1:9" x14ac:dyDescent="0.15">
      <c r="A684" s="2">
        <v>13</v>
      </c>
      <c r="B684" s="1" t="s">
        <v>87</v>
      </c>
      <c r="C684" s="4">
        <v>22</v>
      </c>
      <c r="D684" s="8">
        <v>1.92</v>
      </c>
      <c r="E684" s="4">
        <v>19</v>
      </c>
      <c r="F684" s="8">
        <v>2.35</v>
      </c>
      <c r="G684" s="4">
        <v>3</v>
      </c>
      <c r="H684" s="8">
        <v>0.89</v>
      </c>
      <c r="I684" s="4">
        <v>0</v>
      </c>
    </row>
    <row r="685" spans="1:9" x14ac:dyDescent="0.15">
      <c r="A685" s="2">
        <v>14</v>
      </c>
      <c r="B685" s="1" t="s">
        <v>93</v>
      </c>
      <c r="C685" s="4">
        <v>20</v>
      </c>
      <c r="D685" s="8">
        <v>1.74</v>
      </c>
      <c r="E685" s="4">
        <v>19</v>
      </c>
      <c r="F685" s="8">
        <v>2.35</v>
      </c>
      <c r="G685" s="4">
        <v>1</v>
      </c>
      <c r="H685" s="8">
        <v>0.3</v>
      </c>
      <c r="I685" s="4">
        <v>0</v>
      </c>
    </row>
    <row r="686" spans="1:9" x14ac:dyDescent="0.15">
      <c r="A686" s="2">
        <v>15</v>
      </c>
      <c r="B686" s="1" t="s">
        <v>107</v>
      </c>
      <c r="C686" s="4">
        <v>19</v>
      </c>
      <c r="D686" s="8">
        <v>1.66</v>
      </c>
      <c r="E686" s="4">
        <v>7</v>
      </c>
      <c r="F686" s="8">
        <v>0.87</v>
      </c>
      <c r="G686" s="4">
        <v>12</v>
      </c>
      <c r="H686" s="8">
        <v>3.56</v>
      </c>
      <c r="I686" s="4">
        <v>0</v>
      </c>
    </row>
    <row r="687" spans="1:9" x14ac:dyDescent="0.15">
      <c r="A687" s="2">
        <v>16</v>
      </c>
      <c r="B687" s="1" t="s">
        <v>88</v>
      </c>
      <c r="C687" s="4">
        <v>18</v>
      </c>
      <c r="D687" s="8">
        <v>1.57</v>
      </c>
      <c r="E687" s="4">
        <v>9</v>
      </c>
      <c r="F687" s="8">
        <v>1.1200000000000001</v>
      </c>
      <c r="G687" s="4">
        <v>9</v>
      </c>
      <c r="H687" s="8">
        <v>2.67</v>
      </c>
      <c r="I687" s="4">
        <v>0</v>
      </c>
    </row>
    <row r="688" spans="1:9" x14ac:dyDescent="0.15">
      <c r="A688" s="2">
        <v>17</v>
      </c>
      <c r="B688" s="1" t="s">
        <v>112</v>
      </c>
      <c r="C688" s="4">
        <v>16</v>
      </c>
      <c r="D688" s="8">
        <v>1.39</v>
      </c>
      <c r="E688" s="4">
        <v>12</v>
      </c>
      <c r="F688" s="8">
        <v>1.49</v>
      </c>
      <c r="G688" s="4">
        <v>4</v>
      </c>
      <c r="H688" s="8">
        <v>1.19</v>
      </c>
      <c r="I688" s="4">
        <v>0</v>
      </c>
    </row>
    <row r="689" spans="1:9" x14ac:dyDescent="0.15">
      <c r="A689" s="2">
        <v>17</v>
      </c>
      <c r="B689" s="1" t="s">
        <v>85</v>
      </c>
      <c r="C689" s="4">
        <v>16</v>
      </c>
      <c r="D689" s="8">
        <v>1.39</v>
      </c>
      <c r="E689" s="4">
        <v>8</v>
      </c>
      <c r="F689" s="8">
        <v>0.99</v>
      </c>
      <c r="G689" s="4">
        <v>8</v>
      </c>
      <c r="H689" s="8">
        <v>2.37</v>
      </c>
      <c r="I689" s="4">
        <v>0</v>
      </c>
    </row>
    <row r="690" spans="1:9" x14ac:dyDescent="0.15">
      <c r="A690" s="2">
        <v>17</v>
      </c>
      <c r="B690" s="1" t="s">
        <v>91</v>
      </c>
      <c r="C690" s="4">
        <v>16</v>
      </c>
      <c r="D690" s="8">
        <v>1.39</v>
      </c>
      <c r="E690" s="4">
        <v>9</v>
      </c>
      <c r="F690" s="8">
        <v>1.1200000000000001</v>
      </c>
      <c r="G690" s="4">
        <v>7</v>
      </c>
      <c r="H690" s="8">
        <v>2.08</v>
      </c>
      <c r="I690" s="4">
        <v>0</v>
      </c>
    </row>
    <row r="691" spans="1:9" x14ac:dyDescent="0.15">
      <c r="A691" s="2">
        <v>20</v>
      </c>
      <c r="B691" s="1" t="s">
        <v>78</v>
      </c>
      <c r="C691" s="4">
        <v>12</v>
      </c>
      <c r="D691" s="8">
        <v>1.05</v>
      </c>
      <c r="E691" s="4">
        <v>1</v>
      </c>
      <c r="F691" s="8">
        <v>0.12</v>
      </c>
      <c r="G691" s="4">
        <v>11</v>
      </c>
      <c r="H691" s="8">
        <v>3.26</v>
      </c>
      <c r="I691" s="4">
        <v>0</v>
      </c>
    </row>
    <row r="692" spans="1:9" x14ac:dyDescent="0.15">
      <c r="A692" s="1"/>
      <c r="C692" s="4"/>
      <c r="D692" s="8"/>
      <c r="E692" s="4"/>
      <c r="F692" s="8"/>
      <c r="G692" s="4"/>
      <c r="H692" s="8"/>
      <c r="I692" s="4"/>
    </row>
    <row r="693" spans="1:9" x14ac:dyDescent="0.15">
      <c r="A693" s="1" t="s">
        <v>31</v>
      </c>
      <c r="C693" s="4"/>
      <c r="D693" s="8"/>
      <c r="E693" s="4"/>
      <c r="F693" s="8"/>
      <c r="G693" s="4"/>
      <c r="H693" s="8"/>
      <c r="I693" s="4"/>
    </row>
    <row r="694" spans="1:9" x14ac:dyDescent="0.15">
      <c r="A694" s="2">
        <v>1</v>
      </c>
      <c r="B694" s="1" t="s">
        <v>84</v>
      </c>
      <c r="C694" s="4">
        <v>79</v>
      </c>
      <c r="D694" s="8">
        <v>9.59</v>
      </c>
      <c r="E694" s="4">
        <v>44</v>
      </c>
      <c r="F694" s="8">
        <v>7.67</v>
      </c>
      <c r="G694" s="4">
        <v>35</v>
      </c>
      <c r="H694" s="8">
        <v>14.29</v>
      </c>
      <c r="I694" s="4">
        <v>0</v>
      </c>
    </row>
    <row r="695" spans="1:9" x14ac:dyDescent="0.15">
      <c r="A695" s="2">
        <v>2</v>
      </c>
      <c r="B695" s="1" t="s">
        <v>74</v>
      </c>
      <c r="C695" s="4">
        <v>78</v>
      </c>
      <c r="D695" s="8">
        <v>9.4700000000000006</v>
      </c>
      <c r="E695" s="4">
        <v>38</v>
      </c>
      <c r="F695" s="8">
        <v>6.62</v>
      </c>
      <c r="G695" s="4">
        <v>40</v>
      </c>
      <c r="H695" s="8">
        <v>16.329999999999998</v>
      </c>
      <c r="I695" s="4">
        <v>0</v>
      </c>
    </row>
    <row r="696" spans="1:9" x14ac:dyDescent="0.15">
      <c r="A696" s="2">
        <v>3</v>
      </c>
      <c r="B696" s="1" t="s">
        <v>90</v>
      </c>
      <c r="C696" s="4">
        <v>70</v>
      </c>
      <c r="D696" s="8">
        <v>8.5</v>
      </c>
      <c r="E696" s="4">
        <v>63</v>
      </c>
      <c r="F696" s="8">
        <v>10.98</v>
      </c>
      <c r="G696" s="4">
        <v>7</v>
      </c>
      <c r="H696" s="8">
        <v>2.86</v>
      </c>
      <c r="I696" s="4">
        <v>0</v>
      </c>
    </row>
    <row r="697" spans="1:9" x14ac:dyDescent="0.15">
      <c r="A697" s="2">
        <v>4</v>
      </c>
      <c r="B697" s="1" t="s">
        <v>89</v>
      </c>
      <c r="C697" s="4">
        <v>54</v>
      </c>
      <c r="D697" s="8">
        <v>6.55</v>
      </c>
      <c r="E697" s="4">
        <v>49</v>
      </c>
      <c r="F697" s="8">
        <v>8.5399999999999991</v>
      </c>
      <c r="G697" s="4">
        <v>5</v>
      </c>
      <c r="H697" s="8">
        <v>2.04</v>
      </c>
      <c r="I697" s="4">
        <v>0</v>
      </c>
    </row>
    <row r="698" spans="1:9" x14ac:dyDescent="0.15">
      <c r="A698" s="2">
        <v>5</v>
      </c>
      <c r="B698" s="1" t="s">
        <v>108</v>
      </c>
      <c r="C698" s="4">
        <v>50</v>
      </c>
      <c r="D698" s="8">
        <v>6.07</v>
      </c>
      <c r="E698" s="4">
        <v>40</v>
      </c>
      <c r="F698" s="8">
        <v>6.97</v>
      </c>
      <c r="G698" s="4">
        <v>10</v>
      </c>
      <c r="H698" s="8">
        <v>4.08</v>
      </c>
      <c r="I698" s="4">
        <v>0</v>
      </c>
    </row>
    <row r="699" spans="1:9" x14ac:dyDescent="0.15">
      <c r="A699" s="2">
        <v>6</v>
      </c>
      <c r="B699" s="1" t="s">
        <v>75</v>
      </c>
      <c r="C699" s="4">
        <v>43</v>
      </c>
      <c r="D699" s="8">
        <v>5.22</v>
      </c>
      <c r="E699" s="4">
        <v>36</v>
      </c>
      <c r="F699" s="8">
        <v>6.27</v>
      </c>
      <c r="G699" s="4">
        <v>7</v>
      </c>
      <c r="H699" s="8">
        <v>2.86</v>
      </c>
      <c r="I699" s="4">
        <v>0</v>
      </c>
    </row>
    <row r="700" spans="1:9" x14ac:dyDescent="0.15">
      <c r="A700" s="2">
        <v>7</v>
      </c>
      <c r="B700" s="1" t="s">
        <v>82</v>
      </c>
      <c r="C700" s="4">
        <v>41</v>
      </c>
      <c r="D700" s="8">
        <v>4.9800000000000004</v>
      </c>
      <c r="E700" s="4">
        <v>36</v>
      </c>
      <c r="F700" s="8">
        <v>6.27</v>
      </c>
      <c r="G700" s="4">
        <v>5</v>
      </c>
      <c r="H700" s="8">
        <v>2.04</v>
      </c>
      <c r="I700" s="4">
        <v>0</v>
      </c>
    </row>
    <row r="701" spans="1:9" x14ac:dyDescent="0.15">
      <c r="A701" s="2">
        <v>8</v>
      </c>
      <c r="B701" s="1" t="s">
        <v>92</v>
      </c>
      <c r="C701" s="4">
        <v>34</v>
      </c>
      <c r="D701" s="8">
        <v>4.13</v>
      </c>
      <c r="E701" s="4">
        <v>31</v>
      </c>
      <c r="F701" s="8">
        <v>5.4</v>
      </c>
      <c r="G701" s="4">
        <v>2</v>
      </c>
      <c r="H701" s="8">
        <v>0.82</v>
      </c>
      <c r="I701" s="4">
        <v>1</v>
      </c>
    </row>
    <row r="702" spans="1:9" x14ac:dyDescent="0.15">
      <c r="A702" s="2">
        <v>9</v>
      </c>
      <c r="B702" s="1" t="s">
        <v>86</v>
      </c>
      <c r="C702" s="4">
        <v>33</v>
      </c>
      <c r="D702" s="8">
        <v>4</v>
      </c>
      <c r="E702" s="4">
        <v>27</v>
      </c>
      <c r="F702" s="8">
        <v>4.7</v>
      </c>
      <c r="G702" s="4">
        <v>6</v>
      </c>
      <c r="H702" s="8">
        <v>2.4500000000000002</v>
      </c>
      <c r="I702" s="4">
        <v>0</v>
      </c>
    </row>
    <row r="703" spans="1:9" x14ac:dyDescent="0.15">
      <c r="A703" s="2">
        <v>10</v>
      </c>
      <c r="B703" s="1" t="s">
        <v>83</v>
      </c>
      <c r="C703" s="4">
        <v>32</v>
      </c>
      <c r="D703" s="8">
        <v>3.88</v>
      </c>
      <c r="E703" s="4">
        <v>24</v>
      </c>
      <c r="F703" s="8">
        <v>4.18</v>
      </c>
      <c r="G703" s="4">
        <v>8</v>
      </c>
      <c r="H703" s="8">
        <v>3.27</v>
      </c>
      <c r="I703" s="4">
        <v>0</v>
      </c>
    </row>
    <row r="704" spans="1:9" x14ac:dyDescent="0.15">
      <c r="A704" s="2">
        <v>11</v>
      </c>
      <c r="B704" s="1" t="s">
        <v>76</v>
      </c>
      <c r="C704" s="4">
        <v>27</v>
      </c>
      <c r="D704" s="8">
        <v>3.28</v>
      </c>
      <c r="E704" s="4">
        <v>18</v>
      </c>
      <c r="F704" s="8">
        <v>3.14</v>
      </c>
      <c r="G704" s="4">
        <v>9</v>
      </c>
      <c r="H704" s="8">
        <v>3.67</v>
      </c>
      <c r="I704" s="4">
        <v>0</v>
      </c>
    </row>
    <row r="705" spans="1:9" x14ac:dyDescent="0.15">
      <c r="A705" s="2">
        <v>12</v>
      </c>
      <c r="B705" s="1" t="s">
        <v>81</v>
      </c>
      <c r="C705" s="4">
        <v>26</v>
      </c>
      <c r="D705" s="8">
        <v>3.16</v>
      </c>
      <c r="E705" s="4">
        <v>19</v>
      </c>
      <c r="F705" s="8">
        <v>3.31</v>
      </c>
      <c r="G705" s="4">
        <v>7</v>
      </c>
      <c r="H705" s="8">
        <v>2.86</v>
      </c>
      <c r="I705" s="4">
        <v>0</v>
      </c>
    </row>
    <row r="706" spans="1:9" x14ac:dyDescent="0.15">
      <c r="A706" s="2">
        <v>13</v>
      </c>
      <c r="B706" s="1" t="s">
        <v>77</v>
      </c>
      <c r="C706" s="4">
        <v>17</v>
      </c>
      <c r="D706" s="8">
        <v>2.06</v>
      </c>
      <c r="E706" s="4">
        <v>8</v>
      </c>
      <c r="F706" s="8">
        <v>1.39</v>
      </c>
      <c r="G706" s="4">
        <v>9</v>
      </c>
      <c r="H706" s="8">
        <v>3.67</v>
      </c>
      <c r="I706" s="4">
        <v>0</v>
      </c>
    </row>
    <row r="707" spans="1:9" x14ac:dyDescent="0.15">
      <c r="A707" s="2">
        <v>14</v>
      </c>
      <c r="B707" s="1" t="s">
        <v>88</v>
      </c>
      <c r="C707" s="4">
        <v>16</v>
      </c>
      <c r="D707" s="8">
        <v>1.94</v>
      </c>
      <c r="E707" s="4">
        <v>13</v>
      </c>
      <c r="F707" s="8">
        <v>2.2599999999999998</v>
      </c>
      <c r="G707" s="4">
        <v>3</v>
      </c>
      <c r="H707" s="8">
        <v>1.22</v>
      </c>
      <c r="I707" s="4">
        <v>0</v>
      </c>
    </row>
    <row r="708" spans="1:9" x14ac:dyDescent="0.15">
      <c r="A708" s="2">
        <v>14</v>
      </c>
      <c r="B708" s="1" t="s">
        <v>93</v>
      </c>
      <c r="C708" s="4">
        <v>16</v>
      </c>
      <c r="D708" s="8">
        <v>1.94</v>
      </c>
      <c r="E708" s="4">
        <v>15</v>
      </c>
      <c r="F708" s="8">
        <v>2.61</v>
      </c>
      <c r="G708" s="4">
        <v>1</v>
      </c>
      <c r="H708" s="8">
        <v>0.41</v>
      </c>
      <c r="I708" s="4">
        <v>0</v>
      </c>
    </row>
    <row r="709" spans="1:9" x14ac:dyDescent="0.15">
      <c r="A709" s="2">
        <v>16</v>
      </c>
      <c r="B709" s="1" t="s">
        <v>107</v>
      </c>
      <c r="C709" s="4">
        <v>14</v>
      </c>
      <c r="D709" s="8">
        <v>1.7</v>
      </c>
      <c r="E709" s="4">
        <v>8</v>
      </c>
      <c r="F709" s="8">
        <v>1.39</v>
      </c>
      <c r="G709" s="4">
        <v>6</v>
      </c>
      <c r="H709" s="8">
        <v>2.4500000000000002</v>
      </c>
      <c r="I709" s="4">
        <v>0</v>
      </c>
    </row>
    <row r="710" spans="1:9" x14ac:dyDescent="0.15">
      <c r="A710" s="2">
        <v>16</v>
      </c>
      <c r="B710" s="1" t="s">
        <v>87</v>
      </c>
      <c r="C710" s="4">
        <v>14</v>
      </c>
      <c r="D710" s="8">
        <v>1.7</v>
      </c>
      <c r="E710" s="4">
        <v>13</v>
      </c>
      <c r="F710" s="8">
        <v>2.2599999999999998</v>
      </c>
      <c r="G710" s="4">
        <v>1</v>
      </c>
      <c r="H710" s="8">
        <v>0.41</v>
      </c>
      <c r="I710" s="4">
        <v>0</v>
      </c>
    </row>
    <row r="711" spans="1:9" x14ac:dyDescent="0.15">
      <c r="A711" s="2">
        <v>18</v>
      </c>
      <c r="B711" s="1" t="s">
        <v>110</v>
      </c>
      <c r="C711" s="4">
        <v>13</v>
      </c>
      <c r="D711" s="8">
        <v>1.58</v>
      </c>
      <c r="E711" s="4">
        <v>9</v>
      </c>
      <c r="F711" s="8">
        <v>1.57</v>
      </c>
      <c r="G711" s="4">
        <v>4</v>
      </c>
      <c r="H711" s="8">
        <v>1.63</v>
      </c>
      <c r="I711" s="4">
        <v>0</v>
      </c>
    </row>
    <row r="712" spans="1:9" x14ac:dyDescent="0.15">
      <c r="A712" s="2">
        <v>19</v>
      </c>
      <c r="B712" s="1" t="s">
        <v>106</v>
      </c>
      <c r="C712" s="4">
        <v>11</v>
      </c>
      <c r="D712" s="8">
        <v>1.33</v>
      </c>
      <c r="E712" s="4">
        <v>8</v>
      </c>
      <c r="F712" s="8">
        <v>1.39</v>
      </c>
      <c r="G712" s="4">
        <v>3</v>
      </c>
      <c r="H712" s="8">
        <v>1.22</v>
      </c>
      <c r="I712" s="4">
        <v>0</v>
      </c>
    </row>
    <row r="713" spans="1:9" x14ac:dyDescent="0.15">
      <c r="A713" s="2">
        <v>20</v>
      </c>
      <c r="B713" s="1" t="s">
        <v>113</v>
      </c>
      <c r="C713" s="4">
        <v>9</v>
      </c>
      <c r="D713" s="8">
        <v>1.0900000000000001</v>
      </c>
      <c r="E713" s="4">
        <v>5</v>
      </c>
      <c r="F713" s="8">
        <v>0.87</v>
      </c>
      <c r="G713" s="4">
        <v>4</v>
      </c>
      <c r="H713" s="8">
        <v>1.63</v>
      </c>
      <c r="I713" s="4">
        <v>0</v>
      </c>
    </row>
    <row r="714" spans="1:9" x14ac:dyDescent="0.15">
      <c r="A714" s="1"/>
      <c r="C714" s="4"/>
      <c r="D714" s="8"/>
      <c r="E714" s="4"/>
      <c r="F714" s="8"/>
      <c r="G714" s="4"/>
      <c r="H714" s="8"/>
      <c r="I714" s="4"/>
    </row>
    <row r="715" spans="1:9" x14ac:dyDescent="0.15">
      <c r="A715" s="1" t="s">
        <v>32</v>
      </c>
      <c r="C715" s="4"/>
      <c r="D715" s="8"/>
      <c r="E715" s="4"/>
      <c r="F715" s="8"/>
      <c r="G715" s="4"/>
      <c r="H715" s="8"/>
      <c r="I715" s="4"/>
    </row>
    <row r="716" spans="1:9" x14ac:dyDescent="0.15">
      <c r="A716" s="2">
        <v>1</v>
      </c>
      <c r="B716" s="1" t="s">
        <v>74</v>
      </c>
      <c r="C716" s="4">
        <v>195</v>
      </c>
      <c r="D716" s="8">
        <v>9.74</v>
      </c>
      <c r="E716" s="4">
        <v>105</v>
      </c>
      <c r="F716" s="8">
        <v>7.63</v>
      </c>
      <c r="G716" s="4">
        <v>90</v>
      </c>
      <c r="H716" s="8">
        <v>14.54</v>
      </c>
      <c r="I716" s="4">
        <v>0</v>
      </c>
    </row>
    <row r="717" spans="1:9" x14ac:dyDescent="0.15">
      <c r="A717" s="2">
        <v>2</v>
      </c>
      <c r="B717" s="1" t="s">
        <v>90</v>
      </c>
      <c r="C717" s="4">
        <v>191</v>
      </c>
      <c r="D717" s="8">
        <v>9.5399999999999991</v>
      </c>
      <c r="E717" s="4">
        <v>176</v>
      </c>
      <c r="F717" s="8">
        <v>12.79</v>
      </c>
      <c r="G717" s="4">
        <v>15</v>
      </c>
      <c r="H717" s="8">
        <v>2.42</v>
      </c>
      <c r="I717" s="4">
        <v>0</v>
      </c>
    </row>
    <row r="718" spans="1:9" x14ac:dyDescent="0.15">
      <c r="A718" s="2">
        <v>3</v>
      </c>
      <c r="B718" s="1" t="s">
        <v>89</v>
      </c>
      <c r="C718" s="4">
        <v>160</v>
      </c>
      <c r="D718" s="8">
        <v>7.99</v>
      </c>
      <c r="E718" s="4">
        <v>149</v>
      </c>
      <c r="F718" s="8">
        <v>10.83</v>
      </c>
      <c r="G718" s="4">
        <v>10</v>
      </c>
      <c r="H718" s="8">
        <v>1.62</v>
      </c>
      <c r="I718" s="4">
        <v>1</v>
      </c>
    </row>
    <row r="719" spans="1:9" x14ac:dyDescent="0.15">
      <c r="A719" s="2">
        <v>4</v>
      </c>
      <c r="B719" s="1" t="s">
        <v>84</v>
      </c>
      <c r="C719" s="4">
        <v>157</v>
      </c>
      <c r="D719" s="8">
        <v>7.84</v>
      </c>
      <c r="E719" s="4">
        <v>91</v>
      </c>
      <c r="F719" s="8">
        <v>6.61</v>
      </c>
      <c r="G719" s="4">
        <v>66</v>
      </c>
      <c r="H719" s="8">
        <v>10.66</v>
      </c>
      <c r="I719" s="4">
        <v>0</v>
      </c>
    </row>
    <row r="720" spans="1:9" x14ac:dyDescent="0.15">
      <c r="A720" s="2">
        <v>5</v>
      </c>
      <c r="B720" s="1" t="s">
        <v>75</v>
      </c>
      <c r="C720" s="4">
        <v>145</v>
      </c>
      <c r="D720" s="8">
        <v>7.24</v>
      </c>
      <c r="E720" s="4">
        <v>128</v>
      </c>
      <c r="F720" s="8">
        <v>9.3000000000000007</v>
      </c>
      <c r="G720" s="4">
        <v>17</v>
      </c>
      <c r="H720" s="8">
        <v>2.75</v>
      </c>
      <c r="I720" s="4">
        <v>0</v>
      </c>
    </row>
    <row r="721" spans="1:9" x14ac:dyDescent="0.15">
      <c r="A721" s="2">
        <v>6</v>
      </c>
      <c r="B721" s="1" t="s">
        <v>82</v>
      </c>
      <c r="C721" s="4">
        <v>83</v>
      </c>
      <c r="D721" s="8">
        <v>4.1399999999999997</v>
      </c>
      <c r="E721" s="4">
        <v>71</v>
      </c>
      <c r="F721" s="8">
        <v>5.16</v>
      </c>
      <c r="G721" s="4">
        <v>11</v>
      </c>
      <c r="H721" s="8">
        <v>1.78</v>
      </c>
      <c r="I721" s="4">
        <v>1</v>
      </c>
    </row>
    <row r="722" spans="1:9" x14ac:dyDescent="0.15">
      <c r="A722" s="2">
        <v>7</v>
      </c>
      <c r="B722" s="1" t="s">
        <v>83</v>
      </c>
      <c r="C722" s="4">
        <v>76</v>
      </c>
      <c r="D722" s="8">
        <v>3.79</v>
      </c>
      <c r="E722" s="4">
        <v>58</v>
      </c>
      <c r="F722" s="8">
        <v>4.22</v>
      </c>
      <c r="G722" s="4">
        <v>18</v>
      </c>
      <c r="H722" s="8">
        <v>2.91</v>
      </c>
      <c r="I722" s="4">
        <v>0</v>
      </c>
    </row>
    <row r="723" spans="1:9" x14ac:dyDescent="0.15">
      <c r="A723" s="2">
        <v>8</v>
      </c>
      <c r="B723" s="1" t="s">
        <v>76</v>
      </c>
      <c r="C723" s="4">
        <v>74</v>
      </c>
      <c r="D723" s="8">
        <v>3.69</v>
      </c>
      <c r="E723" s="4">
        <v>48</v>
      </c>
      <c r="F723" s="8">
        <v>3.49</v>
      </c>
      <c r="G723" s="4">
        <v>26</v>
      </c>
      <c r="H723" s="8">
        <v>4.2</v>
      </c>
      <c r="I723" s="4">
        <v>0</v>
      </c>
    </row>
    <row r="724" spans="1:9" x14ac:dyDescent="0.15">
      <c r="A724" s="2">
        <v>9</v>
      </c>
      <c r="B724" s="1" t="s">
        <v>92</v>
      </c>
      <c r="C724" s="4">
        <v>71</v>
      </c>
      <c r="D724" s="8">
        <v>3.54</v>
      </c>
      <c r="E724" s="4">
        <v>62</v>
      </c>
      <c r="F724" s="8">
        <v>4.51</v>
      </c>
      <c r="G724" s="4">
        <v>9</v>
      </c>
      <c r="H724" s="8">
        <v>1.45</v>
      </c>
      <c r="I724" s="4">
        <v>0</v>
      </c>
    </row>
    <row r="725" spans="1:9" x14ac:dyDescent="0.15">
      <c r="A725" s="2">
        <v>10</v>
      </c>
      <c r="B725" s="1" t="s">
        <v>81</v>
      </c>
      <c r="C725" s="4">
        <v>64</v>
      </c>
      <c r="D725" s="8">
        <v>3.2</v>
      </c>
      <c r="E725" s="4">
        <v>40</v>
      </c>
      <c r="F725" s="8">
        <v>2.91</v>
      </c>
      <c r="G725" s="4">
        <v>24</v>
      </c>
      <c r="H725" s="8">
        <v>3.88</v>
      </c>
      <c r="I725" s="4">
        <v>0</v>
      </c>
    </row>
    <row r="726" spans="1:9" x14ac:dyDescent="0.15">
      <c r="A726" s="2">
        <v>11</v>
      </c>
      <c r="B726" s="1" t="s">
        <v>86</v>
      </c>
      <c r="C726" s="4">
        <v>56</v>
      </c>
      <c r="D726" s="8">
        <v>2.8</v>
      </c>
      <c r="E726" s="4">
        <v>27</v>
      </c>
      <c r="F726" s="8">
        <v>1.96</v>
      </c>
      <c r="G726" s="4">
        <v>29</v>
      </c>
      <c r="H726" s="8">
        <v>4.68</v>
      </c>
      <c r="I726" s="4">
        <v>0</v>
      </c>
    </row>
    <row r="727" spans="1:9" x14ac:dyDescent="0.15">
      <c r="A727" s="2">
        <v>12</v>
      </c>
      <c r="B727" s="1" t="s">
        <v>110</v>
      </c>
      <c r="C727" s="4">
        <v>51</v>
      </c>
      <c r="D727" s="8">
        <v>2.5499999999999998</v>
      </c>
      <c r="E727" s="4">
        <v>40</v>
      </c>
      <c r="F727" s="8">
        <v>2.91</v>
      </c>
      <c r="G727" s="4">
        <v>11</v>
      </c>
      <c r="H727" s="8">
        <v>1.78</v>
      </c>
      <c r="I727" s="4">
        <v>0</v>
      </c>
    </row>
    <row r="728" spans="1:9" x14ac:dyDescent="0.15">
      <c r="A728" s="2">
        <v>13</v>
      </c>
      <c r="B728" s="1" t="s">
        <v>93</v>
      </c>
      <c r="C728" s="4">
        <v>46</v>
      </c>
      <c r="D728" s="8">
        <v>2.2999999999999998</v>
      </c>
      <c r="E728" s="4">
        <v>39</v>
      </c>
      <c r="F728" s="8">
        <v>2.83</v>
      </c>
      <c r="G728" s="4">
        <v>7</v>
      </c>
      <c r="H728" s="8">
        <v>1.1299999999999999</v>
      </c>
      <c r="I728" s="4">
        <v>0</v>
      </c>
    </row>
    <row r="729" spans="1:9" x14ac:dyDescent="0.15">
      <c r="A729" s="2">
        <v>14</v>
      </c>
      <c r="B729" s="1" t="s">
        <v>87</v>
      </c>
      <c r="C729" s="4">
        <v>41</v>
      </c>
      <c r="D729" s="8">
        <v>2.0499999999999998</v>
      </c>
      <c r="E729" s="4">
        <v>39</v>
      </c>
      <c r="F729" s="8">
        <v>2.83</v>
      </c>
      <c r="G729" s="4">
        <v>2</v>
      </c>
      <c r="H729" s="8">
        <v>0.32</v>
      </c>
      <c r="I729" s="4">
        <v>0</v>
      </c>
    </row>
    <row r="730" spans="1:9" x14ac:dyDescent="0.15">
      <c r="A730" s="2">
        <v>15</v>
      </c>
      <c r="B730" s="1" t="s">
        <v>113</v>
      </c>
      <c r="C730" s="4">
        <v>38</v>
      </c>
      <c r="D730" s="8">
        <v>1.9</v>
      </c>
      <c r="E730" s="4">
        <v>24</v>
      </c>
      <c r="F730" s="8">
        <v>1.74</v>
      </c>
      <c r="G730" s="4">
        <v>14</v>
      </c>
      <c r="H730" s="8">
        <v>2.2599999999999998</v>
      </c>
      <c r="I730" s="4">
        <v>0</v>
      </c>
    </row>
    <row r="731" spans="1:9" x14ac:dyDescent="0.15">
      <c r="A731" s="2">
        <v>16</v>
      </c>
      <c r="B731" s="1" t="s">
        <v>94</v>
      </c>
      <c r="C731" s="4">
        <v>33</v>
      </c>
      <c r="D731" s="8">
        <v>1.65</v>
      </c>
      <c r="E731" s="4">
        <v>0</v>
      </c>
      <c r="F731" s="8">
        <v>0</v>
      </c>
      <c r="G731" s="4">
        <v>33</v>
      </c>
      <c r="H731" s="8">
        <v>5.33</v>
      </c>
      <c r="I731" s="4">
        <v>0</v>
      </c>
    </row>
    <row r="732" spans="1:9" x14ac:dyDescent="0.15">
      <c r="A732" s="2">
        <v>17</v>
      </c>
      <c r="B732" s="1" t="s">
        <v>119</v>
      </c>
      <c r="C732" s="4">
        <v>30</v>
      </c>
      <c r="D732" s="8">
        <v>1.5</v>
      </c>
      <c r="E732" s="4">
        <v>24</v>
      </c>
      <c r="F732" s="8">
        <v>1.74</v>
      </c>
      <c r="G732" s="4">
        <v>6</v>
      </c>
      <c r="H732" s="8">
        <v>0.97</v>
      </c>
      <c r="I732" s="4">
        <v>0</v>
      </c>
    </row>
    <row r="733" spans="1:9" x14ac:dyDescent="0.15">
      <c r="A733" s="2">
        <v>18</v>
      </c>
      <c r="B733" s="1" t="s">
        <v>112</v>
      </c>
      <c r="C733" s="4">
        <v>28</v>
      </c>
      <c r="D733" s="8">
        <v>1.4</v>
      </c>
      <c r="E733" s="4">
        <v>21</v>
      </c>
      <c r="F733" s="8">
        <v>1.53</v>
      </c>
      <c r="G733" s="4">
        <v>7</v>
      </c>
      <c r="H733" s="8">
        <v>1.1299999999999999</v>
      </c>
      <c r="I733" s="4">
        <v>0</v>
      </c>
    </row>
    <row r="734" spans="1:9" x14ac:dyDescent="0.15">
      <c r="A734" s="2">
        <v>19</v>
      </c>
      <c r="B734" s="1" t="s">
        <v>78</v>
      </c>
      <c r="C734" s="4">
        <v>27</v>
      </c>
      <c r="D734" s="8">
        <v>1.35</v>
      </c>
      <c r="E734" s="4">
        <v>13</v>
      </c>
      <c r="F734" s="8">
        <v>0.94</v>
      </c>
      <c r="G734" s="4">
        <v>14</v>
      </c>
      <c r="H734" s="8">
        <v>2.2599999999999998</v>
      </c>
      <c r="I734" s="4">
        <v>0</v>
      </c>
    </row>
    <row r="735" spans="1:9" x14ac:dyDescent="0.15">
      <c r="A735" s="2">
        <v>20</v>
      </c>
      <c r="B735" s="1" t="s">
        <v>106</v>
      </c>
      <c r="C735" s="4">
        <v>26</v>
      </c>
      <c r="D735" s="8">
        <v>1.3</v>
      </c>
      <c r="E735" s="4">
        <v>25</v>
      </c>
      <c r="F735" s="8">
        <v>1.82</v>
      </c>
      <c r="G735" s="4">
        <v>1</v>
      </c>
      <c r="H735" s="8">
        <v>0.16</v>
      </c>
      <c r="I735" s="4">
        <v>0</v>
      </c>
    </row>
    <row r="736" spans="1:9" x14ac:dyDescent="0.15">
      <c r="A736" s="1"/>
      <c r="C736" s="4"/>
      <c r="D736" s="8"/>
      <c r="E736" s="4"/>
      <c r="F736" s="8"/>
      <c r="G736" s="4"/>
      <c r="H736" s="8"/>
      <c r="I736" s="4"/>
    </row>
    <row r="737" spans="1:9" x14ac:dyDescent="0.15">
      <c r="A737" s="1" t="s">
        <v>33</v>
      </c>
      <c r="C737" s="4"/>
      <c r="D737" s="8"/>
      <c r="E737" s="4"/>
      <c r="F737" s="8"/>
      <c r="G737" s="4"/>
      <c r="H737" s="8"/>
      <c r="I737" s="4"/>
    </row>
    <row r="738" spans="1:9" x14ac:dyDescent="0.15">
      <c r="A738" s="2">
        <v>1</v>
      </c>
      <c r="B738" s="1" t="s">
        <v>84</v>
      </c>
      <c r="C738" s="4">
        <v>173</v>
      </c>
      <c r="D738" s="8">
        <v>9.82</v>
      </c>
      <c r="E738" s="4">
        <v>115</v>
      </c>
      <c r="F738" s="8">
        <v>8.77</v>
      </c>
      <c r="G738" s="4">
        <v>58</v>
      </c>
      <c r="H738" s="8">
        <v>12.92</v>
      </c>
      <c r="I738" s="4">
        <v>0</v>
      </c>
    </row>
    <row r="739" spans="1:9" x14ac:dyDescent="0.15">
      <c r="A739" s="2">
        <v>2</v>
      </c>
      <c r="B739" s="1" t="s">
        <v>89</v>
      </c>
      <c r="C739" s="4">
        <v>171</v>
      </c>
      <c r="D739" s="8">
        <v>9.6999999999999993</v>
      </c>
      <c r="E739" s="4">
        <v>168</v>
      </c>
      <c r="F739" s="8">
        <v>12.81</v>
      </c>
      <c r="G739" s="4">
        <v>3</v>
      </c>
      <c r="H739" s="8">
        <v>0.67</v>
      </c>
      <c r="I739" s="4">
        <v>0</v>
      </c>
    </row>
    <row r="740" spans="1:9" x14ac:dyDescent="0.15">
      <c r="A740" s="2">
        <v>3</v>
      </c>
      <c r="B740" s="1" t="s">
        <v>90</v>
      </c>
      <c r="C740" s="4">
        <v>160</v>
      </c>
      <c r="D740" s="8">
        <v>9.08</v>
      </c>
      <c r="E740" s="4">
        <v>154</v>
      </c>
      <c r="F740" s="8">
        <v>11.75</v>
      </c>
      <c r="G740" s="4">
        <v>6</v>
      </c>
      <c r="H740" s="8">
        <v>1.34</v>
      </c>
      <c r="I740" s="4">
        <v>0</v>
      </c>
    </row>
    <row r="741" spans="1:9" x14ac:dyDescent="0.15">
      <c r="A741" s="2">
        <v>4</v>
      </c>
      <c r="B741" s="1" t="s">
        <v>82</v>
      </c>
      <c r="C741" s="4">
        <v>132</v>
      </c>
      <c r="D741" s="8">
        <v>7.49</v>
      </c>
      <c r="E741" s="4">
        <v>119</v>
      </c>
      <c r="F741" s="8">
        <v>9.08</v>
      </c>
      <c r="G741" s="4">
        <v>12</v>
      </c>
      <c r="H741" s="8">
        <v>2.67</v>
      </c>
      <c r="I741" s="4">
        <v>1</v>
      </c>
    </row>
    <row r="742" spans="1:9" x14ac:dyDescent="0.15">
      <c r="A742" s="2">
        <v>5</v>
      </c>
      <c r="B742" s="1" t="s">
        <v>86</v>
      </c>
      <c r="C742" s="4">
        <v>107</v>
      </c>
      <c r="D742" s="8">
        <v>6.07</v>
      </c>
      <c r="E742" s="4">
        <v>86</v>
      </c>
      <c r="F742" s="8">
        <v>6.56</v>
      </c>
      <c r="G742" s="4">
        <v>21</v>
      </c>
      <c r="H742" s="8">
        <v>4.68</v>
      </c>
      <c r="I742" s="4">
        <v>0</v>
      </c>
    </row>
    <row r="743" spans="1:9" x14ac:dyDescent="0.15">
      <c r="A743" s="2">
        <v>6</v>
      </c>
      <c r="B743" s="1" t="s">
        <v>74</v>
      </c>
      <c r="C743" s="4">
        <v>100</v>
      </c>
      <c r="D743" s="8">
        <v>5.68</v>
      </c>
      <c r="E743" s="4">
        <v>40</v>
      </c>
      <c r="F743" s="8">
        <v>3.05</v>
      </c>
      <c r="G743" s="4">
        <v>60</v>
      </c>
      <c r="H743" s="8">
        <v>13.36</v>
      </c>
      <c r="I743" s="4">
        <v>0</v>
      </c>
    </row>
    <row r="744" spans="1:9" x14ac:dyDescent="0.15">
      <c r="A744" s="2">
        <v>7</v>
      </c>
      <c r="B744" s="1" t="s">
        <v>118</v>
      </c>
      <c r="C744" s="4">
        <v>93</v>
      </c>
      <c r="D744" s="8">
        <v>5.28</v>
      </c>
      <c r="E744" s="4">
        <v>68</v>
      </c>
      <c r="F744" s="8">
        <v>5.19</v>
      </c>
      <c r="G744" s="4">
        <v>25</v>
      </c>
      <c r="H744" s="8">
        <v>5.57</v>
      </c>
      <c r="I744" s="4">
        <v>0</v>
      </c>
    </row>
    <row r="745" spans="1:9" x14ac:dyDescent="0.15">
      <c r="A745" s="2">
        <v>8</v>
      </c>
      <c r="B745" s="1" t="s">
        <v>92</v>
      </c>
      <c r="C745" s="4">
        <v>61</v>
      </c>
      <c r="D745" s="8">
        <v>3.46</v>
      </c>
      <c r="E745" s="4">
        <v>57</v>
      </c>
      <c r="F745" s="8">
        <v>4.3499999999999996</v>
      </c>
      <c r="G745" s="4">
        <v>4</v>
      </c>
      <c r="H745" s="8">
        <v>0.89</v>
      </c>
      <c r="I745" s="4">
        <v>0</v>
      </c>
    </row>
    <row r="746" spans="1:9" x14ac:dyDescent="0.15">
      <c r="A746" s="2">
        <v>9</v>
      </c>
      <c r="B746" s="1" t="s">
        <v>81</v>
      </c>
      <c r="C746" s="4">
        <v>59</v>
      </c>
      <c r="D746" s="8">
        <v>3.35</v>
      </c>
      <c r="E746" s="4">
        <v>46</v>
      </c>
      <c r="F746" s="8">
        <v>3.51</v>
      </c>
      <c r="G746" s="4">
        <v>13</v>
      </c>
      <c r="H746" s="8">
        <v>2.9</v>
      </c>
      <c r="I746" s="4">
        <v>0</v>
      </c>
    </row>
    <row r="747" spans="1:9" x14ac:dyDescent="0.15">
      <c r="A747" s="2">
        <v>10</v>
      </c>
      <c r="B747" s="1" t="s">
        <v>75</v>
      </c>
      <c r="C747" s="4">
        <v>57</v>
      </c>
      <c r="D747" s="8">
        <v>3.23</v>
      </c>
      <c r="E747" s="4">
        <v>54</v>
      </c>
      <c r="F747" s="8">
        <v>4.12</v>
      </c>
      <c r="G747" s="4">
        <v>3</v>
      </c>
      <c r="H747" s="8">
        <v>0.67</v>
      </c>
      <c r="I747" s="4">
        <v>0</v>
      </c>
    </row>
    <row r="748" spans="1:9" x14ac:dyDescent="0.15">
      <c r="A748" s="2">
        <v>10</v>
      </c>
      <c r="B748" s="1" t="s">
        <v>83</v>
      </c>
      <c r="C748" s="4">
        <v>57</v>
      </c>
      <c r="D748" s="8">
        <v>3.23</v>
      </c>
      <c r="E748" s="4">
        <v>44</v>
      </c>
      <c r="F748" s="8">
        <v>3.36</v>
      </c>
      <c r="G748" s="4">
        <v>13</v>
      </c>
      <c r="H748" s="8">
        <v>2.9</v>
      </c>
      <c r="I748" s="4">
        <v>0</v>
      </c>
    </row>
    <row r="749" spans="1:9" x14ac:dyDescent="0.15">
      <c r="A749" s="2">
        <v>12</v>
      </c>
      <c r="B749" s="1" t="s">
        <v>106</v>
      </c>
      <c r="C749" s="4">
        <v>47</v>
      </c>
      <c r="D749" s="8">
        <v>2.67</v>
      </c>
      <c r="E749" s="4">
        <v>41</v>
      </c>
      <c r="F749" s="8">
        <v>3.13</v>
      </c>
      <c r="G749" s="4">
        <v>6</v>
      </c>
      <c r="H749" s="8">
        <v>1.34</v>
      </c>
      <c r="I749" s="4">
        <v>0</v>
      </c>
    </row>
    <row r="750" spans="1:9" x14ac:dyDescent="0.15">
      <c r="A750" s="2">
        <v>13</v>
      </c>
      <c r="B750" s="1" t="s">
        <v>107</v>
      </c>
      <c r="C750" s="4">
        <v>45</v>
      </c>
      <c r="D750" s="8">
        <v>2.5499999999999998</v>
      </c>
      <c r="E750" s="4">
        <v>29</v>
      </c>
      <c r="F750" s="8">
        <v>2.21</v>
      </c>
      <c r="G750" s="4">
        <v>16</v>
      </c>
      <c r="H750" s="8">
        <v>3.56</v>
      </c>
      <c r="I750" s="4">
        <v>0</v>
      </c>
    </row>
    <row r="751" spans="1:9" x14ac:dyDescent="0.15">
      <c r="A751" s="2">
        <v>13</v>
      </c>
      <c r="B751" s="1" t="s">
        <v>78</v>
      </c>
      <c r="C751" s="4">
        <v>45</v>
      </c>
      <c r="D751" s="8">
        <v>2.5499999999999998</v>
      </c>
      <c r="E751" s="4">
        <v>14</v>
      </c>
      <c r="F751" s="8">
        <v>1.07</v>
      </c>
      <c r="G751" s="4">
        <v>31</v>
      </c>
      <c r="H751" s="8">
        <v>6.9</v>
      </c>
      <c r="I751" s="4">
        <v>0</v>
      </c>
    </row>
    <row r="752" spans="1:9" x14ac:dyDescent="0.15">
      <c r="A752" s="2">
        <v>15</v>
      </c>
      <c r="B752" s="1" t="s">
        <v>93</v>
      </c>
      <c r="C752" s="4">
        <v>44</v>
      </c>
      <c r="D752" s="8">
        <v>2.5</v>
      </c>
      <c r="E752" s="4">
        <v>42</v>
      </c>
      <c r="F752" s="8">
        <v>3.2</v>
      </c>
      <c r="G752" s="4">
        <v>2</v>
      </c>
      <c r="H752" s="8">
        <v>0.45</v>
      </c>
      <c r="I752" s="4">
        <v>0</v>
      </c>
    </row>
    <row r="753" spans="1:9" x14ac:dyDescent="0.15">
      <c r="A753" s="2">
        <v>16</v>
      </c>
      <c r="B753" s="1" t="s">
        <v>96</v>
      </c>
      <c r="C753" s="4">
        <v>41</v>
      </c>
      <c r="D753" s="8">
        <v>2.33</v>
      </c>
      <c r="E753" s="4">
        <v>24</v>
      </c>
      <c r="F753" s="8">
        <v>1.83</v>
      </c>
      <c r="G753" s="4">
        <v>17</v>
      </c>
      <c r="H753" s="8">
        <v>3.79</v>
      </c>
      <c r="I753" s="4">
        <v>0</v>
      </c>
    </row>
    <row r="754" spans="1:9" x14ac:dyDescent="0.15">
      <c r="A754" s="2">
        <v>17</v>
      </c>
      <c r="B754" s="1" t="s">
        <v>76</v>
      </c>
      <c r="C754" s="4">
        <v>37</v>
      </c>
      <c r="D754" s="8">
        <v>2.1</v>
      </c>
      <c r="E754" s="4">
        <v>26</v>
      </c>
      <c r="F754" s="8">
        <v>1.98</v>
      </c>
      <c r="G754" s="4">
        <v>11</v>
      </c>
      <c r="H754" s="8">
        <v>2.4500000000000002</v>
      </c>
      <c r="I754" s="4">
        <v>0</v>
      </c>
    </row>
    <row r="755" spans="1:9" x14ac:dyDescent="0.15">
      <c r="A755" s="2">
        <v>18</v>
      </c>
      <c r="B755" s="1" t="s">
        <v>88</v>
      </c>
      <c r="C755" s="4">
        <v>34</v>
      </c>
      <c r="D755" s="8">
        <v>1.93</v>
      </c>
      <c r="E755" s="4">
        <v>27</v>
      </c>
      <c r="F755" s="8">
        <v>2.06</v>
      </c>
      <c r="G755" s="4">
        <v>7</v>
      </c>
      <c r="H755" s="8">
        <v>1.56</v>
      </c>
      <c r="I755" s="4">
        <v>0</v>
      </c>
    </row>
    <row r="756" spans="1:9" x14ac:dyDescent="0.15">
      <c r="A756" s="2">
        <v>19</v>
      </c>
      <c r="B756" s="1" t="s">
        <v>80</v>
      </c>
      <c r="C756" s="4">
        <v>23</v>
      </c>
      <c r="D756" s="8">
        <v>1.31</v>
      </c>
      <c r="E756" s="4">
        <v>12</v>
      </c>
      <c r="F756" s="8">
        <v>0.92</v>
      </c>
      <c r="G756" s="4">
        <v>11</v>
      </c>
      <c r="H756" s="8">
        <v>2.4500000000000002</v>
      </c>
      <c r="I756" s="4">
        <v>0</v>
      </c>
    </row>
    <row r="757" spans="1:9" x14ac:dyDescent="0.15">
      <c r="A757" s="2">
        <v>19</v>
      </c>
      <c r="B757" s="1" t="s">
        <v>108</v>
      </c>
      <c r="C757" s="4">
        <v>23</v>
      </c>
      <c r="D757" s="8">
        <v>1.31</v>
      </c>
      <c r="E757" s="4">
        <v>20</v>
      </c>
      <c r="F757" s="8">
        <v>1.53</v>
      </c>
      <c r="G757" s="4">
        <v>3</v>
      </c>
      <c r="H757" s="8">
        <v>0.67</v>
      </c>
      <c r="I757" s="4">
        <v>0</v>
      </c>
    </row>
    <row r="758" spans="1:9" x14ac:dyDescent="0.15">
      <c r="A758" s="1"/>
      <c r="C758" s="4"/>
      <c r="D758" s="8"/>
      <c r="E758" s="4"/>
      <c r="F758" s="8"/>
      <c r="G758" s="4"/>
      <c r="H758" s="8"/>
      <c r="I758" s="4"/>
    </row>
    <row r="759" spans="1:9" x14ac:dyDescent="0.15">
      <c r="A759" s="1" t="s">
        <v>34</v>
      </c>
      <c r="C759" s="4"/>
      <c r="D759" s="8"/>
      <c r="E759" s="4"/>
      <c r="F759" s="8"/>
      <c r="G759" s="4"/>
      <c r="H759" s="8"/>
      <c r="I759" s="4"/>
    </row>
    <row r="760" spans="1:9" x14ac:dyDescent="0.15">
      <c r="A760" s="2">
        <v>1</v>
      </c>
      <c r="B760" s="1" t="s">
        <v>90</v>
      </c>
      <c r="C760" s="4">
        <v>109</v>
      </c>
      <c r="D760" s="8">
        <v>10.87</v>
      </c>
      <c r="E760" s="4">
        <v>105</v>
      </c>
      <c r="F760" s="8">
        <v>15.74</v>
      </c>
      <c r="G760" s="4">
        <v>4</v>
      </c>
      <c r="H760" s="8">
        <v>1.21</v>
      </c>
      <c r="I760" s="4">
        <v>0</v>
      </c>
    </row>
    <row r="761" spans="1:9" x14ac:dyDescent="0.15">
      <c r="A761" s="2">
        <v>2</v>
      </c>
      <c r="B761" s="1" t="s">
        <v>84</v>
      </c>
      <c r="C761" s="4">
        <v>94</v>
      </c>
      <c r="D761" s="8">
        <v>9.3699999999999992</v>
      </c>
      <c r="E761" s="4">
        <v>56</v>
      </c>
      <c r="F761" s="8">
        <v>8.4</v>
      </c>
      <c r="G761" s="4">
        <v>38</v>
      </c>
      <c r="H761" s="8">
        <v>11.48</v>
      </c>
      <c r="I761" s="4">
        <v>0</v>
      </c>
    </row>
    <row r="762" spans="1:9" x14ac:dyDescent="0.15">
      <c r="A762" s="2">
        <v>3</v>
      </c>
      <c r="B762" s="1" t="s">
        <v>89</v>
      </c>
      <c r="C762" s="4">
        <v>88</v>
      </c>
      <c r="D762" s="8">
        <v>8.77</v>
      </c>
      <c r="E762" s="4">
        <v>83</v>
      </c>
      <c r="F762" s="8">
        <v>12.44</v>
      </c>
      <c r="G762" s="4">
        <v>4</v>
      </c>
      <c r="H762" s="8">
        <v>1.21</v>
      </c>
      <c r="I762" s="4">
        <v>1</v>
      </c>
    </row>
    <row r="763" spans="1:9" x14ac:dyDescent="0.15">
      <c r="A763" s="2">
        <v>4</v>
      </c>
      <c r="B763" s="1" t="s">
        <v>74</v>
      </c>
      <c r="C763" s="4">
        <v>85</v>
      </c>
      <c r="D763" s="8">
        <v>8.4700000000000006</v>
      </c>
      <c r="E763" s="4">
        <v>33</v>
      </c>
      <c r="F763" s="8">
        <v>4.95</v>
      </c>
      <c r="G763" s="4">
        <v>52</v>
      </c>
      <c r="H763" s="8">
        <v>15.71</v>
      </c>
      <c r="I763" s="4">
        <v>0</v>
      </c>
    </row>
    <row r="764" spans="1:9" x14ac:dyDescent="0.15">
      <c r="A764" s="2">
        <v>5</v>
      </c>
      <c r="B764" s="1" t="s">
        <v>86</v>
      </c>
      <c r="C764" s="4">
        <v>58</v>
      </c>
      <c r="D764" s="8">
        <v>5.78</v>
      </c>
      <c r="E764" s="4">
        <v>49</v>
      </c>
      <c r="F764" s="8">
        <v>7.35</v>
      </c>
      <c r="G764" s="4">
        <v>8</v>
      </c>
      <c r="H764" s="8">
        <v>2.42</v>
      </c>
      <c r="I764" s="4">
        <v>1</v>
      </c>
    </row>
    <row r="765" spans="1:9" x14ac:dyDescent="0.15">
      <c r="A765" s="2">
        <v>6</v>
      </c>
      <c r="B765" s="1" t="s">
        <v>82</v>
      </c>
      <c r="C765" s="4">
        <v>57</v>
      </c>
      <c r="D765" s="8">
        <v>5.68</v>
      </c>
      <c r="E765" s="4">
        <v>50</v>
      </c>
      <c r="F765" s="8">
        <v>7.5</v>
      </c>
      <c r="G765" s="4">
        <v>7</v>
      </c>
      <c r="H765" s="8">
        <v>2.11</v>
      </c>
      <c r="I765" s="4">
        <v>0</v>
      </c>
    </row>
    <row r="766" spans="1:9" x14ac:dyDescent="0.15">
      <c r="A766" s="2">
        <v>7</v>
      </c>
      <c r="B766" s="1" t="s">
        <v>75</v>
      </c>
      <c r="C766" s="4">
        <v>45</v>
      </c>
      <c r="D766" s="8">
        <v>4.49</v>
      </c>
      <c r="E766" s="4">
        <v>34</v>
      </c>
      <c r="F766" s="8">
        <v>5.0999999999999996</v>
      </c>
      <c r="G766" s="4">
        <v>11</v>
      </c>
      <c r="H766" s="8">
        <v>3.32</v>
      </c>
      <c r="I766" s="4">
        <v>0</v>
      </c>
    </row>
    <row r="767" spans="1:9" x14ac:dyDescent="0.15">
      <c r="A767" s="2">
        <v>8</v>
      </c>
      <c r="B767" s="1" t="s">
        <v>92</v>
      </c>
      <c r="C767" s="4">
        <v>43</v>
      </c>
      <c r="D767" s="8">
        <v>4.29</v>
      </c>
      <c r="E767" s="4">
        <v>37</v>
      </c>
      <c r="F767" s="8">
        <v>5.55</v>
      </c>
      <c r="G767" s="4">
        <v>5</v>
      </c>
      <c r="H767" s="8">
        <v>1.51</v>
      </c>
      <c r="I767" s="4">
        <v>1</v>
      </c>
    </row>
    <row r="768" spans="1:9" x14ac:dyDescent="0.15">
      <c r="A768" s="2">
        <v>9</v>
      </c>
      <c r="B768" s="1" t="s">
        <v>83</v>
      </c>
      <c r="C768" s="4">
        <v>40</v>
      </c>
      <c r="D768" s="8">
        <v>3.99</v>
      </c>
      <c r="E768" s="4">
        <v>26</v>
      </c>
      <c r="F768" s="8">
        <v>3.9</v>
      </c>
      <c r="G768" s="4">
        <v>14</v>
      </c>
      <c r="H768" s="8">
        <v>4.2300000000000004</v>
      </c>
      <c r="I768" s="4">
        <v>0</v>
      </c>
    </row>
    <row r="769" spans="1:9" x14ac:dyDescent="0.15">
      <c r="A769" s="2">
        <v>10</v>
      </c>
      <c r="B769" s="1" t="s">
        <v>81</v>
      </c>
      <c r="C769" s="4">
        <v>39</v>
      </c>
      <c r="D769" s="8">
        <v>3.89</v>
      </c>
      <c r="E769" s="4">
        <v>29</v>
      </c>
      <c r="F769" s="8">
        <v>4.3499999999999996</v>
      </c>
      <c r="G769" s="4">
        <v>10</v>
      </c>
      <c r="H769" s="8">
        <v>3.02</v>
      </c>
      <c r="I769" s="4">
        <v>0</v>
      </c>
    </row>
    <row r="770" spans="1:9" x14ac:dyDescent="0.15">
      <c r="A770" s="2">
        <v>11</v>
      </c>
      <c r="B770" s="1" t="s">
        <v>88</v>
      </c>
      <c r="C770" s="4">
        <v>26</v>
      </c>
      <c r="D770" s="8">
        <v>2.59</v>
      </c>
      <c r="E770" s="4">
        <v>13</v>
      </c>
      <c r="F770" s="8">
        <v>1.95</v>
      </c>
      <c r="G770" s="4">
        <v>13</v>
      </c>
      <c r="H770" s="8">
        <v>3.93</v>
      </c>
      <c r="I770" s="4">
        <v>0</v>
      </c>
    </row>
    <row r="771" spans="1:9" x14ac:dyDescent="0.15">
      <c r="A771" s="2">
        <v>12</v>
      </c>
      <c r="B771" s="1" t="s">
        <v>76</v>
      </c>
      <c r="C771" s="4">
        <v>25</v>
      </c>
      <c r="D771" s="8">
        <v>2.4900000000000002</v>
      </c>
      <c r="E771" s="4">
        <v>13</v>
      </c>
      <c r="F771" s="8">
        <v>1.95</v>
      </c>
      <c r="G771" s="4">
        <v>12</v>
      </c>
      <c r="H771" s="8">
        <v>3.63</v>
      </c>
      <c r="I771" s="4">
        <v>0</v>
      </c>
    </row>
    <row r="772" spans="1:9" x14ac:dyDescent="0.15">
      <c r="A772" s="2">
        <v>13</v>
      </c>
      <c r="B772" s="1" t="s">
        <v>93</v>
      </c>
      <c r="C772" s="4">
        <v>21</v>
      </c>
      <c r="D772" s="8">
        <v>2.09</v>
      </c>
      <c r="E772" s="4">
        <v>20</v>
      </c>
      <c r="F772" s="8">
        <v>3</v>
      </c>
      <c r="G772" s="4">
        <v>1</v>
      </c>
      <c r="H772" s="8">
        <v>0.3</v>
      </c>
      <c r="I772" s="4">
        <v>0</v>
      </c>
    </row>
    <row r="773" spans="1:9" x14ac:dyDescent="0.15">
      <c r="A773" s="2">
        <v>14</v>
      </c>
      <c r="B773" s="1" t="s">
        <v>77</v>
      </c>
      <c r="C773" s="4">
        <v>20</v>
      </c>
      <c r="D773" s="8">
        <v>1.99</v>
      </c>
      <c r="E773" s="4">
        <v>6</v>
      </c>
      <c r="F773" s="8">
        <v>0.9</v>
      </c>
      <c r="G773" s="4">
        <v>14</v>
      </c>
      <c r="H773" s="8">
        <v>4.2300000000000004</v>
      </c>
      <c r="I773" s="4">
        <v>0</v>
      </c>
    </row>
    <row r="774" spans="1:9" x14ac:dyDescent="0.15">
      <c r="A774" s="2">
        <v>15</v>
      </c>
      <c r="B774" s="1" t="s">
        <v>110</v>
      </c>
      <c r="C774" s="4">
        <v>13</v>
      </c>
      <c r="D774" s="8">
        <v>1.3</v>
      </c>
      <c r="E774" s="4">
        <v>5</v>
      </c>
      <c r="F774" s="8">
        <v>0.75</v>
      </c>
      <c r="G774" s="4">
        <v>8</v>
      </c>
      <c r="H774" s="8">
        <v>2.42</v>
      </c>
      <c r="I774" s="4">
        <v>0</v>
      </c>
    </row>
    <row r="775" spans="1:9" x14ac:dyDescent="0.15">
      <c r="A775" s="2">
        <v>15</v>
      </c>
      <c r="B775" s="1" t="s">
        <v>87</v>
      </c>
      <c r="C775" s="4">
        <v>13</v>
      </c>
      <c r="D775" s="8">
        <v>1.3</v>
      </c>
      <c r="E775" s="4">
        <v>8</v>
      </c>
      <c r="F775" s="8">
        <v>1.2</v>
      </c>
      <c r="G775" s="4">
        <v>5</v>
      </c>
      <c r="H775" s="8">
        <v>1.51</v>
      </c>
      <c r="I775" s="4">
        <v>0</v>
      </c>
    </row>
    <row r="776" spans="1:9" x14ac:dyDescent="0.15">
      <c r="A776" s="2">
        <v>17</v>
      </c>
      <c r="B776" s="1" t="s">
        <v>78</v>
      </c>
      <c r="C776" s="4">
        <v>12</v>
      </c>
      <c r="D776" s="8">
        <v>1.2</v>
      </c>
      <c r="E776" s="4">
        <v>3</v>
      </c>
      <c r="F776" s="8">
        <v>0.45</v>
      </c>
      <c r="G776" s="4">
        <v>9</v>
      </c>
      <c r="H776" s="8">
        <v>2.72</v>
      </c>
      <c r="I776" s="4">
        <v>0</v>
      </c>
    </row>
    <row r="777" spans="1:9" x14ac:dyDescent="0.15">
      <c r="A777" s="2">
        <v>17</v>
      </c>
      <c r="B777" s="1" t="s">
        <v>80</v>
      </c>
      <c r="C777" s="4">
        <v>12</v>
      </c>
      <c r="D777" s="8">
        <v>1.2</v>
      </c>
      <c r="E777" s="4">
        <v>7</v>
      </c>
      <c r="F777" s="8">
        <v>1.05</v>
      </c>
      <c r="G777" s="4">
        <v>5</v>
      </c>
      <c r="H777" s="8">
        <v>1.51</v>
      </c>
      <c r="I777" s="4">
        <v>0</v>
      </c>
    </row>
    <row r="778" spans="1:9" x14ac:dyDescent="0.15">
      <c r="A778" s="2">
        <v>17</v>
      </c>
      <c r="B778" s="1" t="s">
        <v>91</v>
      </c>
      <c r="C778" s="4">
        <v>12</v>
      </c>
      <c r="D778" s="8">
        <v>1.2</v>
      </c>
      <c r="E778" s="4">
        <v>9</v>
      </c>
      <c r="F778" s="8">
        <v>1.35</v>
      </c>
      <c r="G778" s="4">
        <v>3</v>
      </c>
      <c r="H778" s="8">
        <v>0.91</v>
      </c>
      <c r="I778" s="4">
        <v>0</v>
      </c>
    </row>
    <row r="779" spans="1:9" x14ac:dyDescent="0.15">
      <c r="A779" s="2">
        <v>20</v>
      </c>
      <c r="B779" s="1" t="s">
        <v>107</v>
      </c>
      <c r="C779" s="4">
        <v>11</v>
      </c>
      <c r="D779" s="8">
        <v>1.1000000000000001</v>
      </c>
      <c r="E779" s="4">
        <v>5</v>
      </c>
      <c r="F779" s="8">
        <v>0.75</v>
      </c>
      <c r="G779" s="4">
        <v>5</v>
      </c>
      <c r="H779" s="8">
        <v>1.51</v>
      </c>
      <c r="I779" s="4">
        <v>1</v>
      </c>
    </row>
    <row r="780" spans="1:9" x14ac:dyDescent="0.15">
      <c r="A780" s="2">
        <v>20</v>
      </c>
      <c r="B780" s="1" t="s">
        <v>108</v>
      </c>
      <c r="C780" s="4">
        <v>11</v>
      </c>
      <c r="D780" s="8">
        <v>1.1000000000000001</v>
      </c>
      <c r="E780" s="4">
        <v>7</v>
      </c>
      <c r="F780" s="8">
        <v>1.05</v>
      </c>
      <c r="G780" s="4">
        <v>4</v>
      </c>
      <c r="H780" s="8">
        <v>1.21</v>
      </c>
      <c r="I780" s="4">
        <v>0</v>
      </c>
    </row>
    <row r="781" spans="1:9" x14ac:dyDescent="0.15">
      <c r="A781" s="1"/>
      <c r="C781" s="4"/>
      <c r="D781" s="8"/>
      <c r="E781" s="4"/>
      <c r="F781" s="8"/>
      <c r="G781" s="4"/>
      <c r="H781" s="8"/>
      <c r="I781" s="4"/>
    </row>
    <row r="782" spans="1:9" x14ac:dyDescent="0.15">
      <c r="A782" s="1" t="s">
        <v>35</v>
      </c>
      <c r="C782" s="4"/>
      <c r="D782" s="8"/>
      <c r="E782" s="4"/>
      <c r="F782" s="8"/>
      <c r="G782" s="4"/>
      <c r="H782" s="8"/>
      <c r="I782" s="4"/>
    </row>
    <row r="783" spans="1:9" x14ac:dyDescent="0.15">
      <c r="A783" s="2">
        <v>1</v>
      </c>
      <c r="B783" s="1" t="s">
        <v>89</v>
      </c>
      <c r="C783" s="4">
        <v>146</v>
      </c>
      <c r="D783" s="8">
        <v>10.44</v>
      </c>
      <c r="E783" s="4">
        <v>136</v>
      </c>
      <c r="F783" s="8">
        <v>13.1</v>
      </c>
      <c r="G783" s="4">
        <v>10</v>
      </c>
      <c r="H783" s="8">
        <v>2.81</v>
      </c>
      <c r="I783" s="4">
        <v>0</v>
      </c>
    </row>
    <row r="784" spans="1:9" x14ac:dyDescent="0.15">
      <c r="A784" s="2">
        <v>2</v>
      </c>
      <c r="B784" s="1" t="s">
        <v>82</v>
      </c>
      <c r="C784" s="4">
        <v>138</v>
      </c>
      <c r="D784" s="8">
        <v>9.8699999999999992</v>
      </c>
      <c r="E784" s="4">
        <v>123</v>
      </c>
      <c r="F784" s="8">
        <v>11.85</v>
      </c>
      <c r="G784" s="4">
        <v>13</v>
      </c>
      <c r="H784" s="8">
        <v>3.65</v>
      </c>
      <c r="I784" s="4">
        <v>2</v>
      </c>
    </row>
    <row r="785" spans="1:9" x14ac:dyDescent="0.15">
      <c r="A785" s="2">
        <v>3</v>
      </c>
      <c r="B785" s="1" t="s">
        <v>84</v>
      </c>
      <c r="C785" s="4">
        <v>128</v>
      </c>
      <c r="D785" s="8">
        <v>9.16</v>
      </c>
      <c r="E785" s="4">
        <v>84</v>
      </c>
      <c r="F785" s="8">
        <v>8.09</v>
      </c>
      <c r="G785" s="4">
        <v>44</v>
      </c>
      <c r="H785" s="8">
        <v>12.36</v>
      </c>
      <c r="I785" s="4">
        <v>0</v>
      </c>
    </row>
    <row r="786" spans="1:9" x14ac:dyDescent="0.15">
      <c r="A786" s="2">
        <v>4</v>
      </c>
      <c r="B786" s="1" t="s">
        <v>90</v>
      </c>
      <c r="C786" s="4">
        <v>123</v>
      </c>
      <c r="D786" s="8">
        <v>8.8000000000000007</v>
      </c>
      <c r="E786" s="4">
        <v>117</v>
      </c>
      <c r="F786" s="8">
        <v>11.27</v>
      </c>
      <c r="G786" s="4">
        <v>6</v>
      </c>
      <c r="H786" s="8">
        <v>1.69</v>
      </c>
      <c r="I786" s="4">
        <v>0</v>
      </c>
    </row>
    <row r="787" spans="1:9" x14ac:dyDescent="0.15">
      <c r="A787" s="2">
        <v>5</v>
      </c>
      <c r="B787" s="1" t="s">
        <v>74</v>
      </c>
      <c r="C787" s="4">
        <v>102</v>
      </c>
      <c r="D787" s="8">
        <v>7.3</v>
      </c>
      <c r="E787" s="4">
        <v>41</v>
      </c>
      <c r="F787" s="8">
        <v>3.95</v>
      </c>
      <c r="G787" s="4">
        <v>61</v>
      </c>
      <c r="H787" s="8">
        <v>17.13</v>
      </c>
      <c r="I787" s="4">
        <v>0</v>
      </c>
    </row>
    <row r="788" spans="1:9" x14ac:dyDescent="0.15">
      <c r="A788" s="2">
        <v>6</v>
      </c>
      <c r="B788" s="1" t="s">
        <v>107</v>
      </c>
      <c r="C788" s="4">
        <v>90</v>
      </c>
      <c r="D788" s="8">
        <v>6.44</v>
      </c>
      <c r="E788" s="4">
        <v>80</v>
      </c>
      <c r="F788" s="8">
        <v>7.71</v>
      </c>
      <c r="G788" s="4">
        <v>10</v>
      </c>
      <c r="H788" s="8">
        <v>2.81</v>
      </c>
      <c r="I788" s="4">
        <v>0</v>
      </c>
    </row>
    <row r="789" spans="1:9" x14ac:dyDescent="0.15">
      <c r="A789" s="2">
        <v>7</v>
      </c>
      <c r="B789" s="1" t="s">
        <v>75</v>
      </c>
      <c r="C789" s="4">
        <v>55</v>
      </c>
      <c r="D789" s="8">
        <v>3.93</v>
      </c>
      <c r="E789" s="4">
        <v>48</v>
      </c>
      <c r="F789" s="8">
        <v>4.62</v>
      </c>
      <c r="G789" s="4">
        <v>7</v>
      </c>
      <c r="H789" s="8">
        <v>1.97</v>
      </c>
      <c r="I789" s="4">
        <v>0</v>
      </c>
    </row>
    <row r="790" spans="1:9" x14ac:dyDescent="0.15">
      <c r="A790" s="2">
        <v>8</v>
      </c>
      <c r="B790" s="1" t="s">
        <v>83</v>
      </c>
      <c r="C790" s="4">
        <v>53</v>
      </c>
      <c r="D790" s="8">
        <v>3.79</v>
      </c>
      <c r="E790" s="4">
        <v>40</v>
      </c>
      <c r="F790" s="8">
        <v>3.85</v>
      </c>
      <c r="G790" s="4">
        <v>13</v>
      </c>
      <c r="H790" s="8">
        <v>3.65</v>
      </c>
      <c r="I790" s="4">
        <v>0</v>
      </c>
    </row>
    <row r="791" spans="1:9" x14ac:dyDescent="0.15">
      <c r="A791" s="2">
        <v>9</v>
      </c>
      <c r="B791" s="1" t="s">
        <v>86</v>
      </c>
      <c r="C791" s="4">
        <v>47</v>
      </c>
      <c r="D791" s="8">
        <v>3.36</v>
      </c>
      <c r="E791" s="4">
        <v>29</v>
      </c>
      <c r="F791" s="8">
        <v>2.79</v>
      </c>
      <c r="G791" s="4">
        <v>18</v>
      </c>
      <c r="H791" s="8">
        <v>5.0599999999999996</v>
      </c>
      <c r="I791" s="4">
        <v>0</v>
      </c>
    </row>
    <row r="792" spans="1:9" x14ac:dyDescent="0.15">
      <c r="A792" s="2">
        <v>10</v>
      </c>
      <c r="B792" s="1" t="s">
        <v>81</v>
      </c>
      <c r="C792" s="4">
        <v>46</v>
      </c>
      <c r="D792" s="8">
        <v>3.29</v>
      </c>
      <c r="E792" s="4">
        <v>33</v>
      </c>
      <c r="F792" s="8">
        <v>3.18</v>
      </c>
      <c r="G792" s="4">
        <v>13</v>
      </c>
      <c r="H792" s="8">
        <v>3.65</v>
      </c>
      <c r="I792" s="4">
        <v>0</v>
      </c>
    </row>
    <row r="793" spans="1:9" x14ac:dyDescent="0.15">
      <c r="A793" s="2">
        <v>11</v>
      </c>
      <c r="B793" s="1" t="s">
        <v>92</v>
      </c>
      <c r="C793" s="4">
        <v>44</v>
      </c>
      <c r="D793" s="8">
        <v>3.15</v>
      </c>
      <c r="E793" s="4">
        <v>40</v>
      </c>
      <c r="F793" s="8">
        <v>3.85</v>
      </c>
      <c r="G793" s="4">
        <v>4</v>
      </c>
      <c r="H793" s="8">
        <v>1.1200000000000001</v>
      </c>
      <c r="I793" s="4">
        <v>0</v>
      </c>
    </row>
    <row r="794" spans="1:9" x14ac:dyDescent="0.15">
      <c r="A794" s="2">
        <v>12</v>
      </c>
      <c r="B794" s="1" t="s">
        <v>93</v>
      </c>
      <c r="C794" s="4">
        <v>40</v>
      </c>
      <c r="D794" s="8">
        <v>2.86</v>
      </c>
      <c r="E794" s="4">
        <v>36</v>
      </c>
      <c r="F794" s="8">
        <v>3.47</v>
      </c>
      <c r="G794" s="4">
        <v>4</v>
      </c>
      <c r="H794" s="8">
        <v>1.1200000000000001</v>
      </c>
      <c r="I794" s="4">
        <v>0</v>
      </c>
    </row>
    <row r="795" spans="1:9" x14ac:dyDescent="0.15">
      <c r="A795" s="2">
        <v>13</v>
      </c>
      <c r="B795" s="1" t="s">
        <v>112</v>
      </c>
      <c r="C795" s="4">
        <v>34</v>
      </c>
      <c r="D795" s="8">
        <v>2.4300000000000002</v>
      </c>
      <c r="E795" s="4">
        <v>22</v>
      </c>
      <c r="F795" s="8">
        <v>2.12</v>
      </c>
      <c r="G795" s="4">
        <v>12</v>
      </c>
      <c r="H795" s="8">
        <v>3.37</v>
      </c>
      <c r="I795" s="4">
        <v>0</v>
      </c>
    </row>
    <row r="796" spans="1:9" x14ac:dyDescent="0.15">
      <c r="A796" s="2">
        <v>14</v>
      </c>
      <c r="B796" s="1" t="s">
        <v>76</v>
      </c>
      <c r="C796" s="4">
        <v>31</v>
      </c>
      <c r="D796" s="8">
        <v>2.2200000000000002</v>
      </c>
      <c r="E796" s="4">
        <v>22</v>
      </c>
      <c r="F796" s="8">
        <v>2.12</v>
      </c>
      <c r="G796" s="4">
        <v>9</v>
      </c>
      <c r="H796" s="8">
        <v>2.5299999999999998</v>
      </c>
      <c r="I796" s="4">
        <v>0</v>
      </c>
    </row>
    <row r="797" spans="1:9" x14ac:dyDescent="0.15">
      <c r="A797" s="2">
        <v>15</v>
      </c>
      <c r="B797" s="1" t="s">
        <v>96</v>
      </c>
      <c r="C797" s="4">
        <v>30</v>
      </c>
      <c r="D797" s="8">
        <v>2.15</v>
      </c>
      <c r="E797" s="4">
        <v>21</v>
      </c>
      <c r="F797" s="8">
        <v>2.02</v>
      </c>
      <c r="G797" s="4">
        <v>9</v>
      </c>
      <c r="H797" s="8">
        <v>2.5299999999999998</v>
      </c>
      <c r="I797" s="4">
        <v>0</v>
      </c>
    </row>
    <row r="798" spans="1:9" x14ac:dyDescent="0.15">
      <c r="A798" s="2">
        <v>16</v>
      </c>
      <c r="B798" s="1" t="s">
        <v>108</v>
      </c>
      <c r="C798" s="4">
        <v>26</v>
      </c>
      <c r="D798" s="8">
        <v>1.86</v>
      </c>
      <c r="E798" s="4">
        <v>21</v>
      </c>
      <c r="F798" s="8">
        <v>2.02</v>
      </c>
      <c r="G798" s="4">
        <v>4</v>
      </c>
      <c r="H798" s="8">
        <v>1.1200000000000001</v>
      </c>
      <c r="I798" s="4">
        <v>1</v>
      </c>
    </row>
    <row r="799" spans="1:9" x14ac:dyDescent="0.15">
      <c r="A799" s="2">
        <v>17</v>
      </c>
      <c r="B799" s="1" t="s">
        <v>88</v>
      </c>
      <c r="C799" s="4">
        <v>22</v>
      </c>
      <c r="D799" s="8">
        <v>1.57</v>
      </c>
      <c r="E799" s="4">
        <v>11</v>
      </c>
      <c r="F799" s="8">
        <v>1.06</v>
      </c>
      <c r="G799" s="4">
        <v>11</v>
      </c>
      <c r="H799" s="8">
        <v>3.09</v>
      </c>
      <c r="I799" s="4">
        <v>0</v>
      </c>
    </row>
    <row r="800" spans="1:9" x14ac:dyDescent="0.15">
      <c r="A800" s="2">
        <v>18</v>
      </c>
      <c r="B800" s="1" t="s">
        <v>87</v>
      </c>
      <c r="C800" s="4">
        <v>20</v>
      </c>
      <c r="D800" s="8">
        <v>1.43</v>
      </c>
      <c r="E800" s="4">
        <v>15</v>
      </c>
      <c r="F800" s="8">
        <v>1.45</v>
      </c>
      <c r="G800" s="4">
        <v>5</v>
      </c>
      <c r="H800" s="8">
        <v>1.4</v>
      </c>
      <c r="I800" s="4">
        <v>0</v>
      </c>
    </row>
    <row r="801" spans="1:9" x14ac:dyDescent="0.15">
      <c r="A801" s="2">
        <v>19</v>
      </c>
      <c r="B801" s="1" t="s">
        <v>78</v>
      </c>
      <c r="C801" s="4">
        <v>17</v>
      </c>
      <c r="D801" s="8">
        <v>1.22</v>
      </c>
      <c r="E801" s="4">
        <v>7</v>
      </c>
      <c r="F801" s="8">
        <v>0.67</v>
      </c>
      <c r="G801" s="4">
        <v>10</v>
      </c>
      <c r="H801" s="8">
        <v>2.81</v>
      </c>
      <c r="I801" s="4">
        <v>0</v>
      </c>
    </row>
    <row r="802" spans="1:9" x14ac:dyDescent="0.15">
      <c r="A802" s="2">
        <v>20</v>
      </c>
      <c r="B802" s="1" t="s">
        <v>85</v>
      </c>
      <c r="C802" s="4">
        <v>15</v>
      </c>
      <c r="D802" s="8">
        <v>1.07</v>
      </c>
      <c r="E802" s="4">
        <v>11</v>
      </c>
      <c r="F802" s="8">
        <v>1.06</v>
      </c>
      <c r="G802" s="4">
        <v>4</v>
      </c>
      <c r="H802" s="8">
        <v>1.1200000000000001</v>
      </c>
      <c r="I802" s="4">
        <v>0</v>
      </c>
    </row>
    <row r="803" spans="1:9" x14ac:dyDescent="0.15">
      <c r="A803" s="2">
        <v>20</v>
      </c>
      <c r="B803" s="1" t="s">
        <v>106</v>
      </c>
      <c r="C803" s="4">
        <v>15</v>
      </c>
      <c r="D803" s="8">
        <v>1.07</v>
      </c>
      <c r="E803" s="4">
        <v>13</v>
      </c>
      <c r="F803" s="8">
        <v>1.25</v>
      </c>
      <c r="G803" s="4">
        <v>2</v>
      </c>
      <c r="H803" s="8">
        <v>0.56000000000000005</v>
      </c>
      <c r="I803" s="4">
        <v>0</v>
      </c>
    </row>
    <row r="804" spans="1:9" x14ac:dyDescent="0.15">
      <c r="A804" s="1"/>
      <c r="C804" s="4"/>
      <c r="D804" s="8"/>
      <c r="E804" s="4"/>
      <c r="F804" s="8"/>
      <c r="G804" s="4"/>
      <c r="H804" s="8"/>
      <c r="I804" s="4"/>
    </row>
    <row r="805" spans="1:9" x14ac:dyDescent="0.15">
      <c r="A805" s="1" t="s">
        <v>36</v>
      </c>
      <c r="C805" s="4"/>
      <c r="D805" s="8"/>
      <c r="E805" s="4"/>
      <c r="F805" s="8"/>
      <c r="G805" s="4"/>
      <c r="H805" s="8"/>
      <c r="I805" s="4"/>
    </row>
    <row r="806" spans="1:9" x14ac:dyDescent="0.15">
      <c r="A806" s="2">
        <v>1</v>
      </c>
      <c r="B806" s="1" t="s">
        <v>107</v>
      </c>
      <c r="C806" s="4">
        <v>252</v>
      </c>
      <c r="D806" s="8">
        <v>15.91</v>
      </c>
      <c r="E806" s="4">
        <v>202</v>
      </c>
      <c r="F806" s="8">
        <v>17.399999999999999</v>
      </c>
      <c r="G806" s="4">
        <v>50</v>
      </c>
      <c r="H806" s="8">
        <v>11.82</v>
      </c>
      <c r="I806" s="4">
        <v>0</v>
      </c>
    </row>
    <row r="807" spans="1:9" x14ac:dyDescent="0.15">
      <c r="A807" s="2">
        <v>2</v>
      </c>
      <c r="B807" s="1" t="s">
        <v>74</v>
      </c>
      <c r="C807" s="4">
        <v>159</v>
      </c>
      <c r="D807" s="8">
        <v>10.039999999999999</v>
      </c>
      <c r="E807" s="4">
        <v>86</v>
      </c>
      <c r="F807" s="8">
        <v>7.41</v>
      </c>
      <c r="G807" s="4">
        <v>73</v>
      </c>
      <c r="H807" s="8">
        <v>17.260000000000002</v>
      </c>
      <c r="I807" s="4">
        <v>0</v>
      </c>
    </row>
    <row r="808" spans="1:9" x14ac:dyDescent="0.15">
      <c r="A808" s="2">
        <v>3</v>
      </c>
      <c r="B808" s="1" t="s">
        <v>90</v>
      </c>
      <c r="C808" s="4">
        <v>133</v>
      </c>
      <c r="D808" s="8">
        <v>8.4</v>
      </c>
      <c r="E808" s="4">
        <v>125</v>
      </c>
      <c r="F808" s="8">
        <v>10.77</v>
      </c>
      <c r="G808" s="4">
        <v>8</v>
      </c>
      <c r="H808" s="8">
        <v>1.89</v>
      </c>
      <c r="I808" s="4">
        <v>0</v>
      </c>
    </row>
    <row r="809" spans="1:9" x14ac:dyDescent="0.15">
      <c r="A809" s="2">
        <v>4</v>
      </c>
      <c r="B809" s="1" t="s">
        <v>84</v>
      </c>
      <c r="C809" s="4">
        <v>115</v>
      </c>
      <c r="D809" s="8">
        <v>7.26</v>
      </c>
      <c r="E809" s="4">
        <v>74</v>
      </c>
      <c r="F809" s="8">
        <v>6.37</v>
      </c>
      <c r="G809" s="4">
        <v>41</v>
      </c>
      <c r="H809" s="8">
        <v>9.69</v>
      </c>
      <c r="I809" s="4">
        <v>0</v>
      </c>
    </row>
    <row r="810" spans="1:9" x14ac:dyDescent="0.15">
      <c r="A810" s="2">
        <v>5</v>
      </c>
      <c r="B810" s="1" t="s">
        <v>75</v>
      </c>
      <c r="C810" s="4">
        <v>104</v>
      </c>
      <c r="D810" s="8">
        <v>6.57</v>
      </c>
      <c r="E810" s="4">
        <v>91</v>
      </c>
      <c r="F810" s="8">
        <v>7.84</v>
      </c>
      <c r="G810" s="4">
        <v>13</v>
      </c>
      <c r="H810" s="8">
        <v>3.07</v>
      </c>
      <c r="I810" s="4">
        <v>0</v>
      </c>
    </row>
    <row r="811" spans="1:9" x14ac:dyDescent="0.15">
      <c r="A811" s="2">
        <v>6</v>
      </c>
      <c r="B811" s="1" t="s">
        <v>89</v>
      </c>
      <c r="C811" s="4">
        <v>97</v>
      </c>
      <c r="D811" s="8">
        <v>6.12</v>
      </c>
      <c r="E811" s="4">
        <v>90</v>
      </c>
      <c r="F811" s="8">
        <v>7.75</v>
      </c>
      <c r="G811" s="4">
        <v>7</v>
      </c>
      <c r="H811" s="8">
        <v>1.65</v>
      </c>
      <c r="I811" s="4">
        <v>0</v>
      </c>
    </row>
    <row r="812" spans="1:9" x14ac:dyDescent="0.15">
      <c r="A812" s="2">
        <v>7</v>
      </c>
      <c r="B812" s="1" t="s">
        <v>82</v>
      </c>
      <c r="C812" s="4">
        <v>72</v>
      </c>
      <c r="D812" s="8">
        <v>4.55</v>
      </c>
      <c r="E812" s="4">
        <v>66</v>
      </c>
      <c r="F812" s="8">
        <v>5.68</v>
      </c>
      <c r="G812" s="4">
        <v>6</v>
      </c>
      <c r="H812" s="8">
        <v>1.42</v>
      </c>
      <c r="I812" s="4">
        <v>0</v>
      </c>
    </row>
    <row r="813" spans="1:9" x14ac:dyDescent="0.15">
      <c r="A813" s="2">
        <v>8</v>
      </c>
      <c r="B813" s="1" t="s">
        <v>76</v>
      </c>
      <c r="C813" s="4">
        <v>62</v>
      </c>
      <c r="D813" s="8">
        <v>3.91</v>
      </c>
      <c r="E813" s="4">
        <v>37</v>
      </c>
      <c r="F813" s="8">
        <v>3.19</v>
      </c>
      <c r="G813" s="4">
        <v>25</v>
      </c>
      <c r="H813" s="8">
        <v>5.91</v>
      </c>
      <c r="I813" s="4">
        <v>0</v>
      </c>
    </row>
    <row r="814" spans="1:9" x14ac:dyDescent="0.15">
      <c r="A814" s="2">
        <v>9</v>
      </c>
      <c r="B814" s="1" t="s">
        <v>92</v>
      </c>
      <c r="C814" s="4">
        <v>59</v>
      </c>
      <c r="D814" s="8">
        <v>3.72</v>
      </c>
      <c r="E814" s="4">
        <v>55</v>
      </c>
      <c r="F814" s="8">
        <v>4.74</v>
      </c>
      <c r="G814" s="4">
        <v>4</v>
      </c>
      <c r="H814" s="8">
        <v>0.95</v>
      </c>
      <c r="I814" s="4">
        <v>0</v>
      </c>
    </row>
    <row r="815" spans="1:9" x14ac:dyDescent="0.15">
      <c r="A815" s="2">
        <v>10</v>
      </c>
      <c r="B815" s="1" t="s">
        <v>83</v>
      </c>
      <c r="C815" s="4">
        <v>47</v>
      </c>
      <c r="D815" s="8">
        <v>2.97</v>
      </c>
      <c r="E815" s="4">
        <v>32</v>
      </c>
      <c r="F815" s="8">
        <v>2.76</v>
      </c>
      <c r="G815" s="4">
        <v>15</v>
      </c>
      <c r="H815" s="8">
        <v>3.55</v>
      </c>
      <c r="I815" s="4">
        <v>0</v>
      </c>
    </row>
    <row r="816" spans="1:9" x14ac:dyDescent="0.15">
      <c r="A816" s="2">
        <v>11</v>
      </c>
      <c r="B816" s="1" t="s">
        <v>86</v>
      </c>
      <c r="C816" s="4">
        <v>45</v>
      </c>
      <c r="D816" s="8">
        <v>2.84</v>
      </c>
      <c r="E816" s="4">
        <v>37</v>
      </c>
      <c r="F816" s="8">
        <v>3.19</v>
      </c>
      <c r="G816" s="4">
        <v>8</v>
      </c>
      <c r="H816" s="8">
        <v>1.89</v>
      </c>
      <c r="I816" s="4">
        <v>0</v>
      </c>
    </row>
    <row r="817" spans="1:9" x14ac:dyDescent="0.15">
      <c r="A817" s="2">
        <v>12</v>
      </c>
      <c r="B817" s="1" t="s">
        <v>81</v>
      </c>
      <c r="C817" s="4">
        <v>41</v>
      </c>
      <c r="D817" s="8">
        <v>2.59</v>
      </c>
      <c r="E817" s="4">
        <v>27</v>
      </c>
      <c r="F817" s="8">
        <v>2.33</v>
      </c>
      <c r="G817" s="4">
        <v>14</v>
      </c>
      <c r="H817" s="8">
        <v>3.31</v>
      </c>
      <c r="I817" s="4">
        <v>0</v>
      </c>
    </row>
    <row r="818" spans="1:9" x14ac:dyDescent="0.15">
      <c r="A818" s="2">
        <v>13</v>
      </c>
      <c r="B818" s="1" t="s">
        <v>93</v>
      </c>
      <c r="C818" s="4">
        <v>37</v>
      </c>
      <c r="D818" s="8">
        <v>2.34</v>
      </c>
      <c r="E818" s="4">
        <v>34</v>
      </c>
      <c r="F818" s="8">
        <v>2.93</v>
      </c>
      <c r="G818" s="4">
        <v>3</v>
      </c>
      <c r="H818" s="8">
        <v>0.71</v>
      </c>
      <c r="I818" s="4">
        <v>0</v>
      </c>
    </row>
    <row r="819" spans="1:9" x14ac:dyDescent="0.15">
      <c r="A819" s="2">
        <v>14</v>
      </c>
      <c r="B819" s="1" t="s">
        <v>113</v>
      </c>
      <c r="C819" s="4">
        <v>26</v>
      </c>
      <c r="D819" s="8">
        <v>1.64</v>
      </c>
      <c r="E819" s="4">
        <v>12</v>
      </c>
      <c r="F819" s="8">
        <v>1.03</v>
      </c>
      <c r="G819" s="4">
        <v>14</v>
      </c>
      <c r="H819" s="8">
        <v>3.31</v>
      </c>
      <c r="I819" s="4">
        <v>0</v>
      </c>
    </row>
    <row r="820" spans="1:9" x14ac:dyDescent="0.15">
      <c r="A820" s="2">
        <v>15</v>
      </c>
      <c r="B820" s="1" t="s">
        <v>110</v>
      </c>
      <c r="C820" s="4">
        <v>23</v>
      </c>
      <c r="D820" s="8">
        <v>1.45</v>
      </c>
      <c r="E820" s="4">
        <v>16</v>
      </c>
      <c r="F820" s="8">
        <v>1.38</v>
      </c>
      <c r="G820" s="4">
        <v>7</v>
      </c>
      <c r="H820" s="8">
        <v>1.65</v>
      </c>
      <c r="I820" s="4">
        <v>0</v>
      </c>
    </row>
    <row r="821" spans="1:9" x14ac:dyDescent="0.15">
      <c r="A821" s="2">
        <v>16</v>
      </c>
      <c r="B821" s="1" t="s">
        <v>88</v>
      </c>
      <c r="C821" s="4">
        <v>22</v>
      </c>
      <c r="D821" s="8">
        <v>1.39</v>
      </c>
      <c r="E821" s="4">
        <v>11</v>
      </c>
      <c r="F821" s="8">
        <v>0.95</v>
      </c>
      <c r="G821" s="4">
        <v>11</v>
      </c>
      <c r="H821" s="8">
        <v>2.6</v>
      </c>
      <c r="I821" s="4">
        <v>0</v>
      </c>
    </row>
    <row r="822" spans="1:9" x14ac:dyDescent="0.15">
      <c r="A822" s="2">
        <v>17</v>
      </c>
      <c r="B822" s="1" t="s">
        <v>119</v>
      </c>
      <c r="C822" s="4">
        <v>21</v>
      </c>
      <c r="D822" s="8">
        <v>1.33</v>
      </c>
      <c r="E822" s="4">
        <v>13</v>
      </c>
      <c r="F822" s="8">
        <v>1.1200000000000001</v>
      </c>
      <c r="G822" s="4">
        <v>8</v>
      </c>
      <c r="H822" s="8">
        <v>1.89</v>
      </c>
      <c r="I822" s="4">
        <v>0</v>
      </c>
    </row>
    <row r="823" spans="1:9" x14ac:dyDescent="0.15">
      <c r="A823" s="2">
        <v>18</v>
      </c>
      <c r="B823" s="1" t="s">
        <v>87</v>
      </c>
      <c r="C823" s="4">
        <v>17</v>
      </c>
      <c r="D823" s="8">
        <v>1.07</v>
      </c>
      <c r="E823" s="4">
        <v>14</v>
      </c>
      <c r="F823" s="8">
        <v>1.21</v>
      </c>
      <c r="G823" s="4">
        <v>3</v>
      </c>
      <c r="H823" s="8">
        <v>0.71</v>
      </c>
      <c r="I823" s="4">
        <v>0</v>
      </c>
    </row>
    <row r="824" spans="1:9" x14ac:dyDescent="0.15">
      <c r="A824" s="2">
        <v>19</v>
      </c>
      <c r="B824" s="1" t="s">
        <v>78</v>
      </c>
      <c r="C824" s="4">
        <v>16</v>
      </c>
      <c r="D824" s="8">
        <v>1.01</v>
      </c>
      <c r="E824" s="4">
        <v>9</v>
      </c>
      <c r="F824" s="8">
        <v>0.78</v>
      </c>
      <c r="G824" s="4">
        <v>7</v>
      </c>
      <c r="H824" s="8">
        <v>1.65</v>
      </c>
      <c r="I824" s="4">
        <v>0</v>
      </c>
    </row>
    <row r="825" spans="1:9" x14ac:dyDescent="0.15">
      <c r="A825" s="2">
        <v>20</v>
      </c>
      <c r="B825" s="1" t="s">
        <v>97</v>
      </c>
      <c r="C825" s="4">
        <v>14</v>
      </c>
      <c r="D825" s="8">
        <v>0.88</v>
      </c>
      <c r="E825" s="4">
        <v>6</v>
      </c>
      <c r="F825" s="8">
        <v>0.52</v>
      </c>
      <c r="G825" s="4">
        <v>8</v>
      </c>
      <c r="H825" s="8">
        <v>1.89</v>
      </c>
      <c r="I825" s="4">
        <v>0</v>
      </c>
    </row>
    <row r="826" spans="1:9" x14ac:dyDescent="0.15">
      <c r="A826" s="1"/>
      <c r="C826" s="4"/>
      <c r="D826" s="8"/>
      <c r="E826" s="4"/>
      <c r="F826" s="8"/>
      <c r="G826" s="4"/>
      <c r="H826" s="8"/>
      <c r="I826" s="4"/>
    </row>
    <row r="827" spans="1:9" x14ac:dyDescent="0.15">
      <c r="A827" s="1" t="s">
        <v>37</v>
      </c>
      <c r="C827" s="4"/>
      <c r="D827" s="8"/>
      <c r="E827" s="4"/>
      <c r="F827" s="8"/>
      <c r="G827" s="4"/>
      <c r="H827" s="8"/>
      <c r="I827" s="4"/>
    </row>
    <row r="828" spans="1:9" x14ac:dyDescent="0.15">
      <c r="A828" s="2">
        <v>1</v>
      </c>
      <c r="B828" s="1" t="s">
        <v>89</v>
      </c>
      <c r="C828" s="4">
        <v>107</v>
      </c>
      <c r="D828" s="8">
        <v>10.74</v>
      </c>
      <c r="E828" s="4">
        <v>97</v>
      </c>
      <c r="F828" s="8">
        <v>16.28</v>
      </c>
      <c r="G828" s="4">
        <v>10</v>
      </c>
      <c r="H828" s="8">
        <v>2.52</v>
      </c>
      <c r="I828" s="4">
        <v>0</v>
      </c>
    </row>
    <row r="829" spans="1:9" x14ac:dyDescent="0.15">
      <c r="A829" s="2">
        <v>2</v>
      </c>
      <c r="B829" s="1" t="s">
        <v>74</v>
      </c>
      <c r="C829" s="4">
        <v>88</v>
      </c>
      <c r="D829" s="8">
        <v>8.84</v>
      </c>
      <c r="E829" s="4">
        <v>43</v>
      </c>
      <c r="F829" s="8">
        <v>7.21</v>
      </c>
      <c r="G829" s="4">
        <v>45</v>
      </c>
      <c r="H829" s="8">
        <v>11.34</v>
      </c>
      <c r="I829" s="4">
        <v>0</v>
      </c>
    </row>
    <row r="830" spans="1:9" x14ac:dyDescent="0.15">
      <c r="A830" s="2">
        <v>3</v>
      </c>
      <c r="B830" s="1" t="s">
        <v>90</v>
      </c>
      <c r="C830" s="4">
        <v>82</v>
      </c>
      <c r="D830" s="8">
        <v>8.23</v>
      </c>
      <c r="E830" s="4">
        <v>66</v>
      </c>
      <c r="F830" s="8">
        <v>11.07</v>
      </c>
      <c r="G830" s="4">
        <v>16</v>
      </c>
      <c r="H830" s="8">
        <v>4.03</v>
      </c>
      <c r="I830" s="4">
        <v>0</v>
      </c>
    </row>
    <row r="831" spans="1:9" x14ac:dyDescent="0.15">
      <c r="A831" s="2">
        <v>4</v>
      </c>
      <c r="B831" s="1" t="s">
        <v>84</v>
      </c>
      <c r="C831" s="4">
        <v>69</v>
      </c>
      <c r="D831" s="8">
        <v>6.93</v>
      </c>
      <c r="E831" s="4">
        <v>34</v>
      </c>
      <c r="F831" s="8">
        <v>5.7</v>
      </c>
      <c r="G831" s="4">
        <v>35</v>
      </c>
      <c r="H831" s="8">
        <v>8.82</v>
      </c>
      <c r="I831" s="4">
        <v>0</v>
      </c>
    </row>
    <row r="832" spans="1:9" x14ac:dyDescent="0.15">
      <c r="A832" s="2">
        <v>5</v>
      </c>
      <c r="B832" s="1" t="s">
        <v>82</v>
      </c>
      <c r="C832" s="4">
        <v>50</v>
      </c>
      <c r="D832" s="8">
        <v>5.0199999999999996</v>
      </c>
      <c r="E832" s="4">
        <v>40</v>
      </c>
      <c r="F832" s="8">
        <v>6.71</v>
      </c>
      <c r="G832" s="4">
        <v>10</v>
      </c>
      <c r="H832" s="8">
        <v>2.52</v>
      </c>
      <c r="I832" s="4">
        <v>0</v>
      </c>
    </row>
    <row r="833" spans="1:9" x14ac:dyDescent="0.15">
      <c r="A833" s="2">
        <v>6</v>
      </c>
      <c r="B833" s="1" t="s">
        <v>75</v>
      </c>
      <c r="C833" s="4">
        <v>42</v>
      </c>
      <c r="D833" s="8">
        <v>4.22</v>
      </c>
      <c r="E833" s="4">
        <v>31</v>
      </c>
      <c r="F833" s="8">
        <v>5.2</v>
      </c>
      <c r="G833" s="4">
        <v>11</v>
      </c>
      <c r="H833" s="8">
        <v>2.77</v>
      </c>
      <c r="I833" s="4">
        <v>0</v>
      </c>
    </row>
    <row r="834" spans="1:9" x14ac:dyDescent="0.15">
      <c r="A834" s="2">
        <v>7</v>
      </c>
      <c r="B834" s="1" t="s">
        <v>83</v>
      </c>
      <c r="C834" s="4">
        <v>41</v>
      </c>
      <c r="D834" s="8">
        <v>4.12</v>
      </c>
      <c r="E834" s="4">
        <v>25</v>
      </c>
      <c r="F834" s="8">
        <v>4.1900000000000004</v>
      </c>
      <c r="G834" s="4">
        <v>16</v>
      </c>
      <c r="H834" s="8">
        <v>4.03</v>
      </c>
      <c r="I834" s="4">
        <v>0</v>
      </c>
    </row>
    <row r="835" spans="1:9" x14ac:dyDescent="0.15">
      <c r="A835" s="2">
        <v>8</v>
      </c>
      <c r="B835" s="1" t="s">
        <v>81</v>
      </c>
      <c r="C835" s="4">
        <v>35</v>
      </c>
      <c r="D835" s="8">
        <v>3.51</v>
      </c>
      <c r="E835" s="4">
        <v>22</v>
      </c>
      <c r="F835" s="8">
        <v>3.69</v>
      </c>
      <c r="G835" s="4">
        <v>13</v>
      </c>
      <c r="H835" s="8">
        <v>3.27</v>
      </c>
      <c r="I835" s="4">
        <v>0</v>
      </c>
    </row>
    <row r="836" spans="1:9" x14ac:dyDescent="0.15">
      <c r="A836" s="2">
        <v>8</v>
      </c>
      <c r="B836" s="1" t="s">
        <v>86</v>
      </c>
      <c r="C836" s="4">
        <v>35</v>
      </c>
      <c r="D836" s="8">
        <v>3.51</v>
      </c>
      <c r="E836" s="4">
        <v>22</v>
      </c>
      <c r="F836" s="8">
        <v>3.69</v>
      </c>
      <c r="G836" s="4">
        <v>13</v>
      </c>
      <c r="H836" s="8">
        <v>3.27</v>
      </c>
      <c r="I836" s="4">
        <v>0</v>
      </c>
    </row>
    <row r="837" spans="1:9" x14ac:dyDescent="0.15">
      <c r="A837" s="2">
        <v>10</v>
      </c>
      <c r="B837" s="1" t="s">
        <v>112</v>
      </c>
      <c r="C837" s="4">
        <v>32</v>
      </c>
      <c r="D837" s="8">
        <v>3.21</v>
      </c>
      <c r="E837" s="4">
        <v>16</v>
      </c>
      <c r="F837" s="8">
        <v>2.68</v>
      </c>
      <c r="G837" s="4">
        <v>16</v>
      </c>
      <c r="H837" s="8">
        <v>4.03</v>
      </c>
      <c r="I837" s="4">
        <v>0</v>
      </c>
    </row>
    <row r="838" spans="1:9" x14ac:dyDescent="0.15">
      <c r="A838" s="2">
        <v>11</v>
      </c>
      <c r="B838" s="1" t="s">
        <v>78</v>
      </c>
      <c r="C838" s="4">
        <v>26</v>
      </c>
      <c r="D838" s="8">
        <v>2.61</v>
      </c>
      <c r="E838" s="4">
        <v>6</v>
      </c>
      <c r="F838" s="8">
        <v>1.01</v>
      </c>
      <c r="G838" s="4">
        <v>20</v>
      </c>
      <c r="H838" s="8">
        <v>5.04</v>
      </c>
      <c r="I838" s="4">
        <v>0</v>
      </c>
    </row>
    <row r="839" spans="1:9" x14ac:dyDescent="0.15">
      <c r="A839" s="2">
        <v>12</v>
      </c>
      <c r="B839" s="1" t="s">
        <v>76</v>
      </c>
      <c r="C839" s="4">
        <v>25</v>
      </c>
      <c r="D839" s="8">
        <v>2.5099999999999998</v>
      </c>
      <c r="E839" s="4">
        <v>11</v>
      </c>
      <c r="F839" s="8">
        <v>1.85</v>
      </c>
      <c r="G839" s="4">
        <v>14</v>
      </c>
      <c r="H839" s="8">
        <v>3.53</v>
      </c>
      <c r="I839" s="4">
        <v>0</v>
      </c>
    </row>
    <row r="840" spans="1:9" x14ac:dyDescent="0.15">
      <c r="A840" s="2">
        <v>12</v>
      </c>
      <c r="B840" s="1" t="s">
        <v>92</v>
      </c>
      <c r="C840" s="4">
        <v>25</v>
      </c>
      <c r="D840" s="8">
        <v>2.5099999999999998</v>
      </c>
      <c r="E840" s="4">
        <v>16</v>
      </c>
      <c r="F840" s="8">
        <v>2.68</v>
      </c>
      <c r="G840" s="4">
        <v>7</v>
      </c>
      <c r="H840" s="8">
        <v>1.76</v>
      </c>
      <c r="I840" s="4">
        <v>2</v>
      </c>
    </row>
    <row r="841" spans="1:9" x14ac:dyDescent="0.15">
      <c r="A841" s="2">
        <v>14</v>
      </c>
      <c r="B841" s="1" t="s">
        <v>77</v>
      </c>
      <c r="C841" s="4">
        <v>24</v>
      </c>
      <c r="D841" s="8">
        <v>2.41</v>
      </c>
      <c r="E841" s="4">
        <v>12</v>
      </c>
      <c r="F841" s="8">
        <v>2.0099999999999998</v>
      </c>
      <c r="G841" s="4">
        <v>12</v>
      </c>
      <c r="H841" s="8">
        <v>3.02</v>
      </c>
      <c r="I841" s="4">
        <v>0</v>
      </c>
    </row>
    <row r="842" spans="1:9" x14ac:dyDescent="0.15">
      <c r="A842" s="2">
        <v>15</v>
      </c>
      <c r="B842" s="1" t="s">
        <v>87</v>
      </c>
      <c r="C842" s="4">
        <v>23</v>
      </c>
      <c r="D842" s="8">
        <v>2.31</v>
      </c>
      <c r="E842" s="4">
        <v>17</v>
      </c>
      <c r="F842" s="8">
        <v>2.85</v>
      </c>
      <c r="G842" s="4">
        <v>6</v>
      </c>
      <c r="H842" s="8">
        <v>1.51</v>
      </c>
      <c r="I842" s="4">
        <v>0</v>
      </c>
    </row>
    <row r="843" spans="1:9" x14ac:dyDescent="0.15">
      <c r="A843" s="2">
        <v>16</v>
      </c>
      <c r="B843" s="1" t="s">
        <v>93</v>
      </c>
      <c r="C843" s="4">
        <v>21</v>
      </c>
      <c r="D843" s="8">
        <v>2.11</v>
      </c>
      <c r="E843" s="4">
        <v>19</v>
      </c>
      <c r="F843" s="8">
        <v>3.19</v>
      </c>
      <c r="G843" s="4">
        <v>2</v>
      </c>
      <c r="H843" s="8">
        <v>0.5</v>
      </c>
      <c r="I843" s="4">
        <v>0</v>
      </c>
    </row>
    <row r="844" spans="1:9" x14ac:dyDescent="0.15">
      <c r="A844" s="2">
        <v>17</v>
      </c>
      <c r="B844" s="1" t="s">
        <v>110</v>
      </c>
      <c r="C844" s="4">
        <v>17</v>
      </c>
      <c r="D844" s="8">
        <v>1.71</v>
      </c>
      <c r="E844" s="4">
        <v>11</v>
      </c>
      <c r="F844" s="8">
        <v>1.85</v>
      </c>
      <c r="G844" s="4">
        <v>6</v>
      </c>
      <c r="H844" s="8">
        <v>1.51</v>
      </c>
      <c r="I844" s="4">
        <v>0</v>
      </c>
    </row>
    <row r="845" spans="1:9" x14ac:dyDescent="0.15">
      <c r="A845" s="2">
        <v>17</v>
      </c>
      <c r="B845" s="1" t="s">
        <v>88</v>
      </c>
      <c r="C845" s="4">
        <v>17</v>
      </c>
      <c r="D845" s="8">
        <v>1.71</v>
      </c>
      <c r="E845" s="4">
        <v>9</v>
      </c>
      <c r="F845" s="8">
        <v>1.51</v>
      </c>
      <c r="G845" s="4">
        <v>8</v>
      </c>
      <c r="H845" s="8">
        <v>2.02</v>
      </c>
      <c r="I845" s="4">
        <v>0</v>
      </c>
    </row>
    <row r="846" spans="1:9" x14ac:dyDescent="0.15">
      <c r="A846" s="2">
        <v>17</v>
      </c>
      <c r="B846" s="1" t="s">
        <v>106</v>
      </c>
      <c r="C846" s="4">
        <v>17</v>
      </c>
      <c r="D846" s="8">
        <v>1.71</v>
      </c>
      <c r="E846" s="4">
        <v>15</v>
      </c>
      <c r="F846" s="8">
        <v>2.52</v>
      </c>
      <c r="G846" s="4">
        <v>2</v>
      </c>
      <c r="H846" s="8">
        <v>0.5</v>
      </c>
      <c r="I846" s="4">
        <v>0</v>
      </c>
    </row>
    <row r="847" spans="1:9" x14ac:dyDescent="0.15">
      <c r="A847" s="2">
        <v>20</v>
      </c>
      <c r="B847" s="1" t="s">
        <v>119</v>
      </c>
      <c r="C847" s="4">
        <v>14</v>
      </c>
      <c r="D847" s="8">
        <v>1.41</v>
      </c>
      <c r="E847" s="4">
        <v>10</v>
      </c>
      <c r="F847" s="8">
        <v>1.68</v>
      </c>
      <c r="G847" s="4">
        <v>4</v>
      </c>
      <c r="H847" s="8">
        <v>1.01</v>
      </c>
      <c r="I847" s="4">
        <v>0</v>
      </c>
    </row>
    <row r="848" spans="1:9" x14ac:dyDescent="0.15">
      <c r="A848" s="2">
        <v>20</v>
      </c>
      <c r="B848" s="1" t="s">
        <v>79</v>
      </c>
      <c r="C848" s="4">
        <v>14</v>
      </c>
      <c r="D848" s="8">
        <v>1.41</v>
      </c>
      <c r="E848" s="4">
        <v>4</v>
      </c>
      <c r="F848" s="8">
        <v>0.67</v>
      </c>
      <c r="G848" s="4">
        <v>10</v>
      </c>
      <c r="H848" s="8">
        <v>2.52</v>
      </c>
      <c r="I848" s="4">
        <v>0</v>
      </c>
    </row>
    <row r="849" spans="1:9" x14ac:dyDescent="0.15">
      <c r="A849" s="1"/>
      <c r="C849" s="4"/>
      <c r="D849" s="8"/>
      <c r="E849" s="4"/>
      <c r="F849" s="8"/>
      <c r="G849" s="4"/>
      <c r="H849" s="8"/>
      <c r="I849" s="4"/>
    </row>
    <row r="850" spans="1:9" x14ac:dyDescent="0.15">
      <c r="A850" s="1" t="s">
        <v>38</v>
      </c>
      <c r="C850" s="4"/>
      <c r="D850" s="8"/>
      <c r="E850" s="4"/>
      <c r="F850" s="8"/>
      <c r="G850" s="4"/>
      <c r="H850" s="8"/>
      <c r="I850" s="4"/>
    </row>
    <row r="851" spans="1:9" x14ac:dyDescent="0.15">
      <c r="A851" s="2">
        <v>1</v>
      </c>
      <c r="B851" s="1" t="s">
        <v>84</v>
      </c>
      <c r="C851" s="4">
        <v>171</v>
      </c>
      <c r="D851" s="8">
        <v>8.5500000000000007</v>
      </c>
      <c r="E851" s="4">
        <v>105</v>
      </c>
      <c r="F851" s="8">
        <v>7.97</v>
      </c>
      <c r="G851" s="4">
        <v>66</v>
      </c>
      <c r="H851" s="8">
        <v>9.81</v>
      </c>
      <c r="I851" s="4">
        <v>0</v>
      </c>
    </row>
    <row r="852" spans="1:9" x14ac:dyDescent="0.15">
      <c r="A852" s="2">
        <v>2</v>
      </c>
      <c r="B852" s="1" t="s">
        <v>90</v>
      </c>
      <c r="C852" s="4">
        <v>170</v>
      </c>
      <c r="D852" s="8">
        <v>8.5</v>
      </c>
      <c r="E852" s="4">
        <v>148</v>
      </c>
      <c r="F852" s="8">
        <v>11.23</v>
      </c>
      <c r="G852" s="4">
        <v>22</v>
      </c>
      <c r="H852" s="8">
        <v>3.27</v>
      </c>
      <c r="I852" s="4">
        <v>0</v>
      </c>
    </row>
    <row r="853" spans="1:9" x14ac:dyDescent="0.15">
      <c r="A853" s="2">
        <v>3</v>
      </c>
      <c r="B853" s="1" t="s">
        <v>74</v>
      </c>
      <c r="C853" s="4">
        <v>165</v>
      </c>
      <c r="D853" s="8">
        <v>8.25</v>
      </c>
      <c r="E853" s="4">
        <v>64</v>
      </c>
      <c r="F853" s="8">
        <v>4.8600000000000003</v>
      </c>
      <c r="G853" s="4">
        <v>101</v>
      </c>
      <c r="H853" s="8">
        <v>15.01</v>
      </c>
      <c r="I853" s="4">
        <v>0</v>
      </c>
    </row>
    <row r="854" spans="1:9" x14ac:dyDescent="0.15">
      <c r="A854" s="2">
        <v>4</v>
      </c>
      <c r="B854" s="1" t="s">
        <v>100</v>
      </c>
      <c r="C854" s="4">
        <v>126</v>
      </c>
      <c r="D854" s="8">
        <v>6.3</v>
      </c>
      <c r="E854" s="4">
        <v>113</v>
      </c>
      <c r="F854" s="8">
        <v>8.57</v>
      </c>
      <c r="G854" s="4">
        <v>13</v>
      </c>
      <c r="H854" s="8">
        <v>1.93</v>
      </c>
      <c r="I854" s="4">
        <v>0</v>
      </c>
    </row>
    <row r="855" spans="1:9" x14ac:dyDescent="0.15">
      <c r="A855" s="2">
        <v>5</v>
      </c>
      <c r="B855" s="1" t="s">
        <v>107</v>
      </c>
      <c r="C855" s="4">
        <v>121</v>
      </c>
      <c r="D855" s="8">
        <v>6.05</v>
      </c>
      <c r="E855" s="4">
        <v>99</v>
      </c>
      <c r="F855" s="8">
        <v>7.51</v>
      </c>
      <c r="G855" s="4">
        <v>22</v>
      </c>
      <c r="H855" s="8">
        <v>3.27</v>
      </c>
      <c r="I855" s="4">
        <v>0</v>
      </c>
    </row>
    <row r="856" spans="1:9" x14ac:dyDescent="0.15">
      <c r="A856" s="2">
        <v>6</v>
      </c>
      <c r="B856" s="1" t="s">
        <v>89</v>
      </c>
      <c r="C856" s="4">
        <v>118</v>
      </c>
      <c r="D856" s="8">
        <v>5.9</v>
      </c>
      <c r="E856" s="4">
        <v>108</v>
      </c>
      <c r="F856" s="8">
        <v>8.19</v>
      </c>
      <c r="G856" s="4">
        <v>10</v>
      </c>
      <c r="H856" s="8">
        <v>1.49</v>
      </c>
      <c r="I856" s="4">
        <v>0</v>
      </c>
    </row>
    <row r="857" spans="1:9" x14ac:dyDescent="0.15">
      <c r="A857" s="2">
        <v>7</v>
      </c>
      <c r="B857" s="1" t="s">
        <v>82</v>
      </c>
      <c r="C857" s="4">
        <v>111</v>
      </c>
      <c r="D857" s="8">
        <v>5.55</v>
      </c>
      <c r="E857" s="4">
        <v>85</v>
      </c>
      <c r="F857" s="8">
        <v>6.45</v>
      </c>
      <c r="G857" s="4">
        <v>24</v>
      </c>
      <c r="H857" s="8">
        <v>3.57</v>
      </c>
      <c r="I857" s="4">
        <v>2</v>
      </c>
    </row>
    <row r="858" spans="1:9" x14ac:dyDescent="0.15">
      <c r="A858" s="2">
        <v>8</v>
      </c>
      <c r="B858" s="1" t="s">
        <v>92</v>
      </c>
      <c r="C858" s="4">
        <v>97</v>
      </c>
      <c r="D858" s="8">
        <v>4.8499999999999996</v>
      </c>
      <c r="E858" s="4">
        <v>80</v>
      </c>
      <c r="F858" s="8">
        <v>6.07</v>
      </c>
      <c r="G858" s="4">
        <v>16</v>
      </c>
      <c r="H858" s="8">
        <v>2.38</v>
      </c>
      <c r="I858" s="4">
        <v>1</v>
      </c>
    </row>
    <row r="859" spans="1:9" x14ac:dyDescent="0.15">
      <c r="A859" s="2">
        <v>9</v>
      </c>
      <c r="B859" s="1" t="s">
        <v>75</v>
      </c>
      <c r="C859" s="4">
        <v>81</v>
      </c>
      <c r="D859" s="8">
        <v>4.05</v>
      </c>
      <c r="E859" s="4">
        <v>57</v>
      </c>
      <c r="F859" s="8">
        <v>4.32</v>
      </c>
      <c r="G859" s="4">
        <v>24</v>
      </c>
      <c r="H859" s="8">
        <v>3.57</v>
      </c>
      <c r="I859" s="4">
        <v>0</v>
      </c>
    </row>
    <row r="860" spans="1:9" x14ac:dyDescent="0.15">
      <c r="A860" s="2">
        <v>10</v>
      </c>
      <c r="B860" s="1" t="s">
        <v>86</v>
      </c>
      <c r="C860" s="4">
        <v>77</v>
      </c>
      <c r="D860" s="8">
        <v>3.85</v>
      </c>
      <c r="E860" s="4">
        <v>52</v>
      </c>
      <c r="F860" s="8">
        <v>3.95</v>
      </c>
      <c r="G860" s="4">
        <v>25</v>
      </c>
      <c r="H860" s="8">
        <v>3.71</v>
      </c>
      <c r="I860" s="4">
        <v>0</v>
      </c>
    </row>
    <row r="861" spans="1:9" x14ac:dyDescent="0.15">
      <c r="A861" s="2">
        <v>11</v>
      </c>
      <c r="B861" s="1" t="s">
        <v>83</v>
      </c>
      <c r="C861" s="4">
        <v>73</v>
      </c>
      <c r="D861" s="8">
        <v>3.65</v>
      </c>
      <c r="E861" s="4">
        <v>58</v>
      </c>
      <c r="F861" s="8">
        <v>4.4000000000000004</v>
      </c>
      <c r="G861" s="4">
        <v>15</v>
      </c>
      <c r="H861" s="8">
        <v>2.23</v>
      </c>
      <c r="I861" s="4">
        <v>0</v>
      </c>
    </row>
    <row r="862" spans="1:9" x14ac:dyDescent="0.15">
      <c r="A862" s="2">
        <v>12</v>
      </c>
      <c r="B862" s="1" t="s">
        <v>76</v>
      </c>
      <c r="C862" s="4">
        <v>61</v>
      </c>
      <c r="D862" s="8">
        <v>3.05</v>
      </c>
      <c r="E862" s="4">
        <v>36</v>
      </c>
      <c r="F862" s="8">
        <v>2.73</v>
      </c>
      <c r="G862" s="4">
        <v>25</v>
      </c>
      <c r="H862" s="8">
        <v>3.71</v>
      </c>
      <c r="I862" s="4">
        <v>0</v>
      </c>
    </row>
    <row r="863" spans="1:9" x14ac:dyDescent="0.15">
      <c r="A863" s="2">
        <v>13</v>
      </c>
      <c r="B863" s="1" t="s">
        <v>81</v>
      </c>
      <c r="C863" s="4">
        <v>58</v>
      </c>
      <c r="D863" s="8">
        <v>2.9</v>
      </c>
      <c r="E863" s="4">
        <v>34</v>
      </c>
      <c r="F863" s="8">
        <v>2.58</v>
      </c>
      <c r="G863" s="4">
        <v>24</v>
      </c>
      <c r="H863" s="8">
        <v>3.57</v>
      </c>
      <c r="I863" s="4">
        <v>0</v>
      </c>
    </row>
    <row r="864" spans="1:9" x14ac:dyDescent="0.15">
      <c r="A864" s="2">
        <v>14</v>
      </c>
      <c r="B864" s="1" t="s">
        <v>93</v>
      </c>
      <c r="C864" s="4">
        <v>35</v>
      </c>
      <c r="D864" s="8">
        <v>1.75</v>
      </c>
      <c r="E864" s="4">
        <v>32</v>
      </c>
      <c r="F864" s="8">
        <v>2.4300000000000002</v>
      </c>
      <c r="G864" s="4">
        <v>3</v>
      </c>
      <c r="H864" s="8">
        <v>0.45</v>
      </c>
      <c r="I864" s="4">
        <v>0</v>
      </c>
    </row>
    <row r="865" spans="1:9" x14ac:dyDescent="0.15">
      <c r="A865" s="2">
        <v>15</v>
      </c>
      <c r="B865" s="1" t="s">
        <v>77</v>
      </c>
      <c r="C865" s="4">
        <v>34</v>
      </c>
      <c r="D865" s="8">
        <v>1.7</v>
      </c>
      <c r="E865" s="4">
        <v>18</v>
      </c>
      <c r="F865" s="8">
        <v>1.37</v>
      </c>
      <c r="G865" s="4">
        <v>16</v>
      </c>
      <c r="H865" s="8">
        <v>2.38</v>
      </c>
      <c r="I865" s="4">
        <v>0</v>
      </c>
    </row>
    <row r="866" spans="1:9" x14ac:dyDescent="0.15">
      <c r="A866" s="2">
        <v>16</v>
      </c>
      <c r="B866" s="1" t="s">
        <v>87</v>
      </c>
      <c r="C866" s="4">
        <v>33</v>
      </c>
      <c r="D866" s="8">
        <v>1.65</v>
      </c>
      <c r="E866" s="4">
        <v>26</v>
      </c>
      <c r="F866" s="8">
        <v>1.97</v>
      </c>
      <c r="G866" s="4">
        <v>7</v>
      </c>
      <c r="H866" s="8">
        <v>1.04</v>
      </c>
      <c r="I866" s="4">
        <v>0</v>
      </c>
    </row>
    <row r="867" spans="1:9" x14ac:dyDescent="0.15">
      <c r="A867" s="2">
        <v>17</v>
      </c>
      <c r="B867" s="1" t="s">
        <v>78</v>
      </c>
      <c r="C867" s="4">
        <v>32</v>
      </c>
      <c r="D867" s="8">
        <v>1.6</v>
      </c>
      <c r="E867" s="4">
        <v>8</v>
      </c>
      <c r="F867" s="8">
        <v>0.61</v>
      </c>
      <c r="G867" s="4">
        <v>24</v>
      </c>
      <c r="H867" s="8">
        <v>3.57</v>
      </c>
      <c r="I867" s="4">
        <v>0</v>
      </c>
    </row>
    <row r="868" spans="1:9" x14ac:dyDescent="0.15">
      <c r="A868" s="2">
        <v>18</v>
      </c>
      <c r="B868" s="1" t="s">
        <v>88</v>
      </c>
      <c r="C868" s="4">
        <v>28</v>
      </c>
      <c r="D868" s="8">
        <v>1.4</v>
      </c>
      <c r="E868" s="4">
        <v>17</v>
      </c>
      <c r="F868" s="8">
        <v>1.29</v>
      </c>
      <c r="G868" s="4">
        <v>11</v>
      </c>
      <c r="H868" s="8">
        <v>1.63</v>
      </c>
      <c r="I868" s="4">
        <v>0</v>
      </c>
    </row>
    <row r="869" spans="1:9" x14ac:dyDescent="0.15">
      <c r="A869" s="2">
        <v>19</v>
      </c>
      <c r="B869" s="1" t="s">
        <v>96</v>
      </c>
      <c r="C869" s="4">
        <v>23</v>
      </c>
      <c r="D869" s="8">
        <v>1.1499999999999999</v>
      </c>
      <c r="E869" s="4">
        <v>10</v>
      </c>
      <c r="F869" s="8">
        <v>0.76</v>
      </c>
      <c r="G869" s="4">
        <v>13</v>
      </c>
      <c r="H869" s="8">
        <v>1.93</v>
      </c>
      <c r="I869" s="4">
        <v>0</v>
      </c>
    </row>
    <row r="870" spans="1:9" x14ac:dyDescent="0.15">
      <c r="A870" s="2">
        <v>20</v>
      </c>
      <c r="B870" s="1" t="s">
        <v>94</v>
      </c>
      <c r="C870" s="4">
        <v>22</v>
      </c>
      <c r="D870" s="8">
        <v>1.1000000000000001</v>
      </c>
      <c r="E870" s="4">
        <v>1</v>
      </c>
      <c r="F870" s="8">
        <v>0.08</v>
      </c>
      <c r="G870" s="4">
        <v>20</v>
      </c>
      <c r="H870" s="8">
        <v>2.97</v>
      </c>
      <c r="I870" s="4">
        <v>1</v>
      </c>
    </row>
    <row r="871" spans="1:9" x14ac:dyDescent="0.15">
      <c r="A871" s="1"/>
      <c r="C871" s="4"/>
      <c r="D871" s="8"/>
      <c r="E871" s="4"/>
      <c r="F871" s="8"/>
      <c r="G871" s="4"/>
      <c r="H871" s="8"/>
      <c r="I871" s="4"/>
    </row>
    <row r="872" spans="1:9" x14ac:dyDescent="0.15">
      <c r="A872" s="1" t="s">
        <v>39</v>
      </c>
      <c r="C872" s="4"/>
      <c r="D872" s="8"/>
      <c r="E872" s="4"/>
      <c r="F872" s="8"/>
      <c r="G872" s="4"/>
      <c r="H872" s="8"/>
      <c r="I872" s="4"/>
    </row>
    <row r="873" spans="1:9" x14ac:dyDescent="0.15">
      <c r="A873" s="2">
        <v>1</v>
      </c>
      <c r="B873" s="1" t="s">
        <v>74</v>
      </c>
      <c r="C873" s="4">
        <v>31</v>
      </c>
      <c r="D873" s="8">
        <v>10.88</v>
      </c>
      <c r="E873" s="4">
        <v>7</v>
      </c>
      <c r="F873" s="8">
        <v>4.93</v>
      </c>
      <c r="G873" s="4">
        <v>24</v>
      </c>
      <c r="H873" s="8">
        <v>16.78</v>
      </c>
      <c r="I873" s="4">
        <v>0</v>
      </c>
    </row>
    <row r="874" spans="1:9" x14ac:dyDescent="0.15">
      <c r="A874" s="2">
        <v>2</v>
      </c>
      <c r="B874" s="1" t="s">
        <v>90</v>
      </c>
      <c r="C874" s="4">
        <v>26</v>
      </c>
      <c r="D874" s="8">
        <v>9.1199999999999992</v>
      </c>
      <c r="E874" s="4">
        <v>21</v>
      </c>
      <c r="F874" s="8">
        <v>14.79</v>
      </c>
      <c r="G874" s="4">
        <v>5</v>
      </c>
      <c r="H874" s="8">
        <v>3.5</v>
      </c>
      <c r="I874" s="4">
        <v>0</v>
      </c>
    </row>
    <row r="875" spans="1:9" x14ac:dyDescent="0.15">
      <c r="A875" s="2">
        <v>3</v>
      </c>
      <c r="B875" s="1" t="s">
        <v>89</v>
      </c>
      <c r="C875" s="4">
        <v>23</v>
      </c>
      <c r="D875" s="8">
        <v>8.07</v>
      </c>
      <c r="E875" s="4">
        <v>21</v>
      </c>
      <c r="F875" s="8">
        <v>14.79</v>
      </c>
      <c r="G875" s="4">
        <v>2</v>
      </c>
      <c r="H875" s="8">
        <v>1.4</v>
      </c>
      <c r="I875" s="4">
        <v>0</v>
      </c>
    </row>
    <row r="876" spans="1:9" x14ac:dyDescent="0.15">
      <c r="A876" s="2">
        <v>4</v>
      </c>
      <c r="B876" s="1" t="s">
        <v>75</v>
      </c>
      <c r="C876" s="4">
        <v>22</v>
      </c>
      <c r="D876" s="8">
        <v>7.72</v>
      </c>
      <c r="E876" s="4">
        <v>11</v>
      </c>
      <c r="F876" s="8">
        <v>7.75</v>
      </c>
      <c r="G876" s="4">
        <v>11</v>
      </c>
      <c r="H876" s="8">
        <v>7.69</v>
      </c>
      <c r="I876" s="4">
        <v>0</v>
      </c>
    </row>
    <row r="877" spans="1:9" x14ac:dyDescent="0.15">
      <c r="A877" s="2">
        <v>5</v>
      </c>
      <c r="B877" s="1" t="s">
        <v>76</v>
      </c>
      <c r="C877" s="4">
        <v>18</v>
      </c>
      <c r="D877" s="8">
        <v>6.32</v>
      </c>
      <c r="E877" s="4">
        <v>10</v>
      </c>
      <c r="F877" s="8">
        <v>7.04</v>
      </c>
      <c r="G877" s="4">
        <v>8</v>
      </c>
      <c r="H877" s="8">
        <v>5.59</v>
      </c>
      <c r="I877" s="4">
        <v>0</v>
      </c>
    </row>
    <row r="878" spans="1:9" x14ac:dyDescent="0.15">
      <c r="A878" s="2">
        <v>6</v>
      </c>
      <c r="B878" s="1" t="s">
        <v>82</v>
      </c>
      <c r="C878" s="4">
        <v>14</v>
      </c>
      <c r="D878" s="8">
        <v>4.91</v>
      </c>
      <c r="E878" s="4">
        <v>11</v>
      </c>
      <c r="F878" s="8">
        <v>7.75</v>
      </c>
      <c r="G878" s="4">
        <v>3</v>
      </c>
      <c r="H878" s="8">
        <v>2.1</v>
      </c>
      <c r="I878" s="4">
        <v>0</v>
      </c>
    </row>
    <row r="879" spans="1:9" x14ac:dyDescent="0.15">
      <c r="A879" s="2">
        <v>7</v>
      </c>
      <c r="B879" s="1" t="s">
        <v>84</v>
      </c>
      <c r="C879" s="4">
        <v>13</v>
      </c>
      <c r="D879" s="8">
        <v>4.5599999999999996</v>
      </c>
      <c r="E879" s="4">
        <v>7</v>
      </c>
      <c r="F879" s="8">
        <v>4.93</v>
      </c>
      <c r="G879" s="4">
        <v>6</v>
      </c>
      <c r="H879" s="8">
        <v>4.2</v>
      </c>
      <c r="I879" s="4">
        <v>0</v>
      </c>
    </row>
    <row r="880" spans="1:9" x14ac:dyDescent="0.15">
      <c r="A880" s="2">
        <v>7</v>
      </c>
      <c r="B880" s="1" t="s">
        <v>92</v>
      </c>
      <c r="C880" s="4">
        <v>13</v>
      </c>
      <c r="D880" s="8">
        <v>4.5599999999999996</v>
      </c>
      <c r="E880" s="4">
        <v>10</v>
      </c>
      <c r="F880" s="8">
        <v>7.04</v>
      </c>
      <c r="G880" s="4">
        <v>3</v>
      </c>
      <c r="H880" s="8">
        <v>2.1</v>
      </c>
      <c r="I880" s="4">
        <v>0</v>
      </c>
    </row>
    <row r="881" spans="1:9" x14ac:dyDescent="0.15">
      <c r="A881" s="2">
        <v>9</v>
      </c>
      <c r="B881" s="1" t="s">
        <v>87</v>
      </c>
      <c r="C881" s="4">
        <v>10</v>
      </c>
      <c r="D881" s="8">
        <v>3.51</v>
      </c>
      <c r="E881" s="4">
        <v>5</v>
      </c>
      <c r="F881" s="8">
        <v>3.52</v>
      </c>
      <c r="G881" s="4">
        <v>5</v>
      </c>
      <c r="H881" s="8">
        <v>3.5</v>
      </c>
      <c r="I881" s="4">
        <v>0</v>
      </c>
    </row>
    <row r="882" spans="1:9" x14ac:dyDescent="0.15">
      <c r="A882" s="2">
        <v>9</v>
      </c>
      <c r="B882" s="1" t="s">
        <v>88</v>
      </c>
      <c r="C882" s="4">
        <v>10</v>
      </c>
      <c r="D882" s="8">
        <v>3.51</v>
      </c>
      <c r="E882" s="4">
        <v>5</v>
      </c>
      <c r="F882" s="8">
        <v>3.52</v>
      </c>
      <c r="G882" s="4">
        <v>5</v>
      </c>
      <c r="H882" s="8">
        <v>3.5</v>
      </c>
      <c r="I882" s="4">
        <v>0</v>
      </c>
    </row>
    <row r="883" spans="1:9" x14ac:dyDescent="0.15">
      <c r="A883" s="2">
        <v>11</v>
      </c>
      <c r="B883" s="1" t="s">
        <v>83</v>
      </c>
      <c r="C883" s="4">
        <v>9</v>
      </c>
      <c r="D883" s="8">
        <v>3.16</v>
      </c>
      <c r="E883" s="4">
        <v>5</v>
      </c>
      <c r="F883" s="8">
        <v>3.52</v>
      </c>
      <c r="G883" s="4">
        <v>4</v>
      </c>
      <c r="H883" s="8">
        <v>2.8</v>
      </c>
      <c r="I883" s="4">
        <v>0</v>
      </c>
    </row>
    <row r="884" spans="1:9" x14ac:dyDescent="0.15">
      <c r="A884" s="2">
        <v>12</v>
      </c>
      <c r="B884" s="1" t="s">
        <v>91</v>
      </c>
      <c r="C884" s="4">
        <v>8</v>
      </c>
      <c r="D884" s="8">
        <v>2.81</v>
      </c>
      <c r="E884" s="4">
        <v>2</v>
      </c>
      <c r="F884" s="8">
        <v>1.41</v>
      </c>
      <c r="G884" s="4">
        <v>6</v>
      </c>
      <c r="H884" s="8">
        <v>4.2</v>
      </c>
      <c r="I884" s="4">
        <v>0</v>
      </c>
    </row>
    <row r="885" spans="1:9" x14ac:dyDescent="0.15">
      <c r="A885" s="2">
        <v>12</v>
      </c>
      <c r="B885" s="1" t="s">
        <v>93</v>
      </c>
      <c r="C885" s="4">
        <v>8</v>
      </c>
      <c r="D885" s="8">
        <v>2.81</v>
      </c>
      <c r="E885" s="4">
        <v>6</v>
      </c>
      <c r="F885" s="8">
        <v>4.2300000000000004</v>
      </c>
      <c r="G885" s="4">
        <v>2</v>
      </c>
      <c r="H885" s="8">
        <v>1.4</v>
      </c>
      <c r="I885" s="4">
        <v>0</v>
      </c>
    </row>
    <row r="886" spans="1:9" x14ac:dyDescent="0.15">
      <c r="A886" s="2">
        <v>14</v>
      </c>
      <c r="B886" s="1" t="s">
        <v>80</v>
      </c>
      <c r="C886" s="4">
        <v>7</v>
      </c>
      <c r="D886" s="8">
        <v>2.46</v>
      </c>
      <c r="E886" s="4">
        <v>2</v>
      </c>
      <c r="F886" s="8">
        <v>1.41</v>
      </c>
      <c r="G886" s="4">
        <v>5</v>
      </c>
      <c r="H886" s="8">
        <v>3.5</v>
      </c>
      <c r="I886" s="4">
        <v>0</v>
      </c>
    </row>
    <row r="887" spans="1:9" x14ac:dyDescent="0.15">
      <c r="A887" s="2">
        <v>15</v>
      </c>
      <c r="B887" s="1" t="s">
        <v>79</v>
      </c>
      <c r="C887" s="4">
        <v>6</v>
      </c>
      <c r="D887" s="8">
        <v>2.11</v>
      </c>
      <c r="E887" s="4">
        <v>0</v>
      </c>
      <c r="F887" s="8">
        <v>0</v>
      </c>
      <c r="G887" s="4">
        <v>6</v>
      </c>
      <c r="H887" s="8">
        <v>4.2</v>
      </c>
      <c r="I887" s="4">
        <v>0</v>
      </c>
    </row>
    <row r="888" spans="1:9" x14ac:dyDescent="0.15">
      <c r="A888" s="2">
        <v>15</v>
      </c>
      <c r="B888" s="1" t="s">
        <v>106</v>
      </c>
      <c r="C888" s="4">
        <v>6</v>
      </c>
      <c r="D888" s="8">
        <v>2.11</v>
      </c>
      <c r="E888" s="4">
        <v>4</v>
      </c>
      <c r="F888" s="8">
        <v>2.82</v>
      </c>
      <c r="G888" s="4">
        <v>2</v>
      </c>
      <c r="H888" s="8">
        <v>1.4</v>
      </c>
      <c r="I888" s="4">
        <v>0</v>
      </c>
    </row>
    <row r="889" spans="1:9" x14ac:dyDescent="0.15">
      <c r="A889" s="2">
        <v>17</v>
      </c>
      <c r="B889" s="1" t="s">
        <v>120</v>
      </c>
      <c r="C889" s="4">
        <v>5</v>
      </c>
      <c r="D889" s="8">
        <v>1.75</v>
      </c>
      <c r="E889" s="4">
        <v>2</v>
      </c>
      <c r="F889" s="8">
        <v>1.41</v>
      </c>
      <c r="G889" s="4">
        <v>3</v>
      </c>
      <c r="H889" s="8">
        <v>2.1</v>
      </c>
      <c r="I889" s="4">
        <v>0</v>
      </c>
    </row>
    <row r="890" spans="1:9" x14ac:dyDescent="0.15">
      <c r="A890" s="2">
        <v>17</v>
      </c>
      <c r="B890" s="1" t="s">
        <v>78</v>
      </c>
      <c r="C890" s="4">
        <v>5</v>
      </c>
      <c r="D890" s="8">
        <v>1.75</v>
      </c>
      <c r="E890" s="4">
        <v>0</v>
      </c>
      <c r="F890" s="8">
        <v>0</v>
      </c>
      <c r="G890" s="4">
        <v>5</v>
      </c>
      <c r="H890" s="8">
        <v>3.5</v>
      </c>
      <c r="I890" s="4">
        <v>0</v>
      </c>
    </row>
    <row r="891" spans="1:9" x14ac:dyDescent="0.15">
      <c r="A891" s="2">
        <v>19</v>
      </c>
      <c r="B891" s="1" t="s">
        <v>111</v>
      </c>
      <c r="C891" s="4">
        <v>4</v>
      </c>
      <c r="D891" s="8">
        <v>1.4</v>
      </c>
      <c r="E891" s="4">
        <v>0</v>
      </c>
      <c r="F891" s="8">
        <v>0</v>
      </c>
      <c r="G891" s="4">
        <v>4</v>
      </c>
      <c r="H891" s="8">
        <v>2.8</v>
      </c>
      <c r="I891" s="4">
        <v>0</v>
      </c>
    </row>
    <row r="892" spans="1:9" x14ac:dyDescent="0.15">
      <c r="A892" s="2">
        <v>20</v>
      </c>
      <c r="B892" s="1" t="s">
        <v>121</v>
      </c>
      <c r="C892" s="4">
        <v>3</v>
      </c>
      <c r="D892" s="8">
        <v>1.05</v>
      </c>
      <c r="E892" s="4">
        <v>0</v>
      </c>
      <c r="F892" s="8">
        <v>0</v>
      </c>
      <c r="G892" s="4">
        <v>3</v>
      </c>
      <c r="H892" s="8">
        <v>2.1</v>
      </c>
      <c r="I892" s="4">
        <v>0</v>
      </c>
    </row>
    <row r="893" spans="1:9" x14ac:dyDescent="0.15">
      <c r="A893" s="2">
        <v>20</v>
      </c>
      <c r="B893" s="1" t="s">
        <v>85</v>
      </c>
      <c r="C893" s="4">
        <v>3</v>
      </c>
      <c r="D893" s="8">
        <v>1.05</v>
      </c>
      <c r="E893" s="4">
        <v>1</v>
      </c>
      <c r="F893" s="8">
        <v>0.7</v>
      </c>
      <c r="G893" s="4">
        <v>2</v>
      </c>
      <c r="H893" s="8">
        <v>1.4</v>
      </c>
      <c r="I893" s="4">
        <v>0</v>
      </c>
    </row>
    <row r="894" spans="1:9" x14ac:dyDescent="0.15">
      <c r="A894" s="2">
        <v>20</v>
      </c>
      <c r="B894" s="1" t="s">
        <v>86</v>
      </c>
      <c r="C894" s="4">
        <v>3</v>
      </c>
      <c r="D894" s="8">
        <v>1.05</v>
      </c>
      <c r="E894" s="4">
        <v>0</v>
      </c>
      <c r="F894" s="8">
        <v>0</v>
      </c>
      <c r="G894" s="4">
        <v>3</v>
      </c>
      <c r="H894" s="8">
        <v>2.1</v>
      </c>
      <c r="I894" s="4">
        <v>0</v>
      </c>
    </row>
    <row r="895" spans="1:9" x14ac:dyDescent="0.15">
      <c r="A895" s="2">
        <v>20</v>
      </c>
      <c r="B895" s="1" t="s">
        <v>105</v>
      </c>
      <c r="C895" s="4">
        <v>3</v>
      </c>
      <c r="D895" s="8">
        <v>1.05</v>
      </c>
      <c r="E895" s="4">
        <v>1</v>
      </c>
      <c r="F895" s="8">
        <v>0.7</v>
      </c>
      <c r="G895" s="4">
        <v>2</v>
      </c>
      <c r="H895" s="8">
        <v>1.4</v>
      </c>
      <c r="I895" s="4">
        <v>0</v>
      </c>
    </row>
    <row r="896" spans="1:9" x14ac:dyDescent="0.15">
      <c r="A896" s="2">
        <v>20</v>
      </c>
      <c r="B896" s="1" t="s">
        <v>109</v>
      </c>
      <c r="C896" s="4">
        <v>3</v>
      </c>
      <c r="D896" s="8">
        <v>1.05</v>
      </c>
      <c r="E896" s="4">
        <v>1</v>
      </c>
      <c r="F896" s="8">
        <v>0.7</v>
      </c>
      <c r="G896" s="4">
        <v>2</v>
      </c>
      <c r="H896" s="8">
        <v>1.4</v>
      </c>
      <c r="I896" s="4">
        <v>0</v>
      </c>
    </row>
    <row r="897" spans="1:9" x14ac:dyDescent="0.15">
      <c r="A897" s="2">
        <v>20</v>
      </c>
      <c r="B897" s="1" t="s">
        <v>94</v>
      </c>
      <c r="C897" s="4">
        <v>3</v>
      </c>
      <c r="D897" s="8">
        <v>1.05</v>
      </c>
      <c r="E897" s="4">
        <v>0</v>
      </c>
      <c r="F897" s="8">
        <v>0</v>
      </c>
      <c r="G897" s="4">
        <v>3</v>
      </c>
      <c r="H897" s="8">
        <v>2.1</v>
      </c>
      <c r="I897" s="4">
        <v>0</v>
      </c>
    </row>
    <row r="898" spans="1:9" x14ac:dyDescent="0.15">
      <c r="A898" s="1"/>
      <c r="C898" s="4"/>
      <c r="D898" s="8"/>
      <c r="E898" s="4"/>
      <c r="F898" s="8"/>
      <c r="G898" s="4"/>
      <c r="H898" s="8"/>
      <c r="I898" s="4"/>
    </row>
    <row r="899" spans="1:9" x14ac:dyDescent="0.15">
      <c r="A899" s="1" t="s">
        <v>40</v>
      </c>
      <c r="C899" s="4"/>
      <c r="D899" s="8"/>
      <c r="E899" s="4"/>
      <c r="F899" s="8"/>
      <c r="G899" s="4"/>
      <c r="H899" s="8"/>
      <c r="I899" s="4"/>
    </row>
    <row r="900" spans="1:9" x14ac:dyDescent="0.15">
      <c r="A900" s="2">
        <v>1</v>
      </c>
      <c r="B900" s="1" t="s">
        <v>110</v>
      </c>
      <c r="C900" s="4">
        <v>194</v>
      </c>
      <c r="D900" s="8">
        <v>23.12</v>
      </c>
      <c r="E900" s="4">
        <v>131</v>
      </c>
      <c r="F900" s="8">
        <v>21.76</v>
      </c>
      <c r="G900" s="4">
        <v>63</v>
      </c>
      <c r="H900" s="8">
        <v>26.58</v>
      </c>
      <c r="I900" s="4">
        <v>0</v>
      </c>
    </row>
    <row r="901" spans="1:9" x14ac:dyDescent="0.15">
      <c r="A901" s="2">
        <v>2</v>
      </c>
      <c r="B901" s="1" t="s">
        <v>74</v>
      </c>
      <c r="C901" s="4">
        <v>75</v>
      </c>
      <c r="D901" s="8">
        <v>8.94</v>
      </c>
      <c r="E901" s="4">
        <v>49</v>
      </c>
      <c r="F901" s="8">
        <v>8.14</v>
      </c>
      <c r="G901" s="4">
        <v>26</v>
      </c>
      <c r="H901" s="8">
        <v>10.97</v>
      </c>
      <c r="I901" s="4">
        <v>0</v>
      </c>
    </row>
    <row r="902" spans="1:9" x14ac:dyDescent="0.15">
      <c r="A902" s="2">
        <v>3</v>
      </c>
      <c r="B902" s="1" t="s">
        <v>75</v>
      </c>
      <c r="C902" s="4">
        <v>57</v>
      </c>
      <c r="D902" s="8">
        <v>6.79</v>
      </c>
      <c r="E902" s="4">
        <v>50</v>
      </c>
      <c r="F902" s="8">
        <v>8.31</v>
      </c>
      <c r="G902" s="4">
        <v>7</v>
      </c>
      <c r="H902" s="8">
        <v>2.95</v>
      </c>
      <c r="I902" s="4">
        <v>0</v>
      </c>
    </row>
    <row r="903" spans="1:9" x14ac:dyDescent="0.15">
      <c r="A903" s="2">
        <v>3</v>
      </c>
      <c r="B903" s="1" t="s">
        <v>90</v>
      </c>
      <c r="C903" s="4">
        <v>57</v>
      </c>
      <c r="D903" s="8">
        <v>6.79</v>
      </c>
      <c r="E903" s="4">
        <v>55</v>
      </c>
      <c r="F903" s="8">
        <v>9.14</v>
      </c>
      <c r="G903" s="4">
        <v>2</v>
      </c>
      <c r="H903" s="8">
        <v>0.84</v>
      </c>
      <c r="I903" s="4">
        <v>0</v>
      </c>
    </row>
    <row r="904" spans="1:9" x14ac:dyDescent="0.15">
      <c r="A904" s="2">
        <v>5</v>
      </c>
      <c r="B904" s="1" t="s">
        <v>84</v>
      </c>
      <c r="C904" s="4">
        <v>47</v>
      </c>
      <c r="D904" s="8">
        <v>5.6</v>
      </c>
      <c r="E904" s="4">
        <v>27</v>
      </c>
      <c r="F904" s="8">
        <v>4.49</v>
      </c>
      <c r="G904" s="4">
        <v>20</v>
      </c>
      <c r="H904" s="8">
        <v>8.44</v>
      </c>
      <c r="I904" s="4">
        <v>0</v>
      </c>
    </row>
    <row r="905" spans="1:9" x14ac:dyDescent="0.15">
      <c r="A905" s="2">
        <v>5</v>
      </c>
      <c r="B905" s="1" t="s">
        <v>89</v>
      </c>
      <c r="C905" s="4">
        <v>47</v>
      </c>
      <c r="D905" s="8">
        <v>5.6</v>
      </c>
      <c r="E905" s="4">
        <v>47</v>
      </c>
      <c r="F905" s="8">
        <v>7.81</v>
      </c>
      <c r="G905" s="4">
        <v>0</v>
      </c>
      <c r="H905" s="8">
        <v>0</v>
      </c>
      <c r="I905" s="4">
        <v>0</v>
      </c>
    </row>
    <row r="906" spans="1:9" x14ac:dyDescent="0.15">
      <c r="A906" s="2">
        <v>7</v>
      </c>
      <c r="B906" s="1" t="s">
        <v>83</v>
      </c>
      <c r="C906" s="4">
        <v>36</v>
      </c>
      <c r="D906" s="8">
        <v>4.29</v>
      </c>
      <c r="E906" s="4">
        <v>29</v>
      </c>
      <c r="F906" s="8">
        <v>4.82</v>
      </c>
      <c r="G906" s="4">
        <v>7</v>
      </c>
      <c r="H906" s="8">
        <v>2.95</v>
      </c>
      <c r="I906" s="4">
        <v>0</v>
      </c>
    </row>
    <row r="907" spans="1:9" x14ac:dyDescent="0.15">
      <c r="A907" s="2">
        <v>8</v>
      </c>
      <c r="B907" s="1" t="s">
        <v>76</v>
      </c>
      <c r="C907" s="4">
        <v>34</v>
      </c>
      <c r="D907" s="8">
        <v>4.05</v>
      </c>
      <c r="E907" s="4">
        <v>28</v>
      </c>
      <c r="F907" s="8">
        <v>4.6500000000000004</v>
      </c>
      <c r="G907" s="4">
        <v>6</v>
      </c>
      <c r="H907" s="8">
        <v>2.5299999999999998</v>
      </c>
      <c r="I907" s="4">
        <v>0</v>
      </c>
    </row>
    <row r="908" spans="1:9" x14ac:dyDescent="0.15">
      <c r="A908" s="2">
        <v>9</v>
      </c>
      <c r="B908" s="1" t="s">
        <v>82</v>
      </c>
      <c r="C908" s="4">
        <v>32</v>
      </c>
      <c r="D908" s="8">
        <v>3.81</v>
      </c>
      <c r="E908" s="4">
        <v>28</v>
      </c>
      <c r="F908" s="8">
        <v>4.6500000000000004</v>
      </c>
      <c r="G908" s="4">
        <v>4</v>
      </c>
      <c r="H908" s="8">
        <v>1.69</v>
      </c>
      <c r="I908" s="4">
        <v>0</v>
      </c>
    </row>
    <row r="909" spans="1:9" x14ac:dyDescent="0.15">
      <c r="A909" s="2">
        <v>10</v>
      </c>
      <c r="B909" s="1" t="s">
        <v>77</v>
      </c>
      <c r="C909" s="4">
        <v>23</v>
      </c>
      <c r="D909" s="8">
        <v>2.74</v>
      </c>
      <c r="E909" s="4">
        <v>15</v>
      </c>
      <c r="F909" s="8">
        <v>2.4900000000000002</v>
      </c>
      <c r="G909" s="4">
        <v>8</v>
      </c>
      <c r="H909" s="8">
        <v>3.38</v>
      </c>
      <c r="I909" s="4">
        <v>0</v>
      </c>
    </row>
    <row r="910" spans="1:9" x14ac:dyDescent="0.15">
      <c r="A910" s="2">
        <v>11</v>
      </c>
      <c r="B910" s="1" t="s">
        <v>81</v>
      </c>
      <c r="C910" s="4">
        <v>18</v>
      </c>
      <c r="D910" s="8">
        <v>2.15</v>
      </c>
      <c r="E910" s="4">
        <v>13</v>
      </c>
      <c r="F910" s="8">
        <v>2.16</v>
      </c>
      <c r="G910" s="4">
        <v>5</v>
      </c>
      <c r="H910" s="8">
        <v>2.11</v>
      </c>
      <c r="I910" s="4">
        <v>0</v>
      </c>
    </row>
    <row r="911" spans="1:9" x14ac:dyDescent="0.15">
      <c r="A911" s="2">
        <v>12</v>
      </c>
      <c r="B911" s="1" t="s">
        <v>87</v>
      </c>
      <c r="C911" s="4">
        <v>14</v>
      </c>
      <c r="D911" s="8">
        <v>1.67</v>
      </c>
      <c r="E911" s="4">
        <v>12</v>
      </c>
      <c r="F911" s="8">
        <v>1.99</v>
      </c>
      <c r="G911" s="4">
        <v>2</v>
      </c>
      <c r="H911" s="8">
        <v>0.84</v>
      </c>
      <c r="I911" s="4">
        <v>0</v>
      </c>
    </row>
    <row r="912" spans="1:9" x14ac:dyDescent="0.15">
      <c r="A912" s="2">
        <v>12</v>
      </c>
      <c r="B912" s="1" t="s">
        <v>88</v>
      </c>
      <c r="C912" s="4">
        <v>14</v>
      </c>
      <c r="D912" s="8">
        <v>1.67</v>
      </c>
      <c r="E912" s="4">
        <v>8</v>
      </c>
      <c r="F912" s="8">
        <v>1.33</v>
      </c>
      <c r="G912" s="4">
        <v>6</v>
      </c>
      <c r="H912" s="8">
        <v>2.5299999999999998</v>
      </c>
      <c r="I912" s="4">
        <v>0</v>
      </c>
    </row>
    <row r="913" spans="1:9" x14ac:dyDescent="0.15">
      <c r="A913" s="2">
        <v>14</v>
      </c>
      <c r="B913" s="1" t="s">
        <v>106</v>
      </c>
      <c r="C913" s="4">
        <v>12</v>
      </c>
      <c r="D913" s="8">
        <v>1.43</v>
      </c>
      <c r="E913" s="4">
        <v>8</v>
      </c>
      <c r="F913" s="8">
        <v>1.33</v>
      </c>
      <c r="G913" s="4">
        <v>4</v>
      </c>
      <c r="H913" s="8">
        <v>1.69</v>
      </c>
      <c r="I913" s="4">
        <v>0</v>
      </c>
    </row>
    <row r="914" spans="1:9" x14ac:dyDescent="0.15">
      <c r="A914" s="2">
        <v>15</v>
      </c>
      <c r="B914" s="1" t="s">
        <v>107</v>
      </c>
      <c r="C914" s="4">
        <v>11</v>
      </c>
      <c r="D914" s="8">
        <v>1.31</v>
      </c>
      <c r="E914" s="4">
        <v>6</v>
      </c>
      <c r="F914" s="8">
        <v>1</v>
      </c>
      <c r="G914" s="4">
        <v>5</v>
      </c>
      <c r="H914" s="8">
        <v>2.11</v>
      </c>
      <c r="I914" s="4">
        <v>0</v>
      </c>
    </row>
    <row r="915" spans="1:9" x14ac:dyDescent="0.15">
      <c r="A915" s="2">
        <v>16</v>
      </c>
      <c r="B915" s="1" t="s">
        <v>113</v>
      </c>
      <c r="C915" s="4">
        <v>10</v>
      </c>
      <c r="D915" s="8">
        <v>1.19</v>
      </c>
      <c r="E915" s="4">
        <v>5</v>
      </c>
      <c r="F915" s="8">
        <v>0.83</v>
      </c>
      <c r="G915" s="4">
        <v>5</v>
      </c>
      <c r="H915" s="8">
        <v>2.11</v>
      </c>
      <c r="I915" s="4">
        <v>0</v>
      </c>
    </row>
    <row r="916" spans="1:9" x14ac:dyDescent="0.15">
      <c r="A916" s="2">
        <v>16</v>
      </c>
      <c r="B916" s="1" t="s">
        <v>112</v>
      </c>
      <c r="C916" s="4">
        <v>10</v>
      </c>
      <c r="D916" s="8">
        <v>1.19</v>
      </c>
      <c r="E916" s="4">
        <v>7</v>
      </c>
      <c r="F916" s="8">
        <v>1.1599999999999999</v>
      </c>
      <c r="G916" s="4">
        <v>3</v>
      </c>
      <c r="H916" s="8">
        <v>1.27</v>
      </c>
      <c r="I916" s="4">
        <v>0</v>
      </c>
    </row>
    <row r="917" spans="1:9" x14ac:dyDescent="0.15">
      <c r="A917" s="2">
        <v>16</v>
      </c>
      <c r="B917" s="1" t="s">
        <v>92</v>
      </c>
      <c r="C917" s="4">
        <v>10</v>
      </c>
      <c r="D917" s="8">
        <v>1.19</v>
      </c>
      <c r="E917" s="4">
        <v>9</v>
      </c>
      <c r="F917" s="8">
        <v>1.5</v>
      </c>
      <c r="G917" s="4">
        <v>1</v>
      </c>
      <c r="H917" s="8">
        <v>0.42</v>
      </c>
      <c r="I917" s="4">
        <v>0</v>
      </c>
    </row>
    <row r="918" spans="1:9" x14ac:dyDescent="0.15">
      <c r="A918" s="2">
        <v>19</v>
      </c>
      <c r="B918" s="1" t="s">
        <v>115</v>
      </c>
      <c r="C918" s="4">
        <v>9</v>
      </c>
      <c r="D918" s="8">
        <v>1.07</v>
      </c>
      <c r="E918" s="4">
        <v>6</v>
      </c>
      <c r="F918" s="8">
        <v>1</v>
      </c>
      <c r="G918" s="4">
        <v>3</v>
      </c>
      <c r="H918" s="8">
        <v>1.27</v>
      </c>
      <c r="I918" s="4">
        <v>0</v>
      </c>
    </row>
    <row r="919" spans="1:9" x14ac:dyDescent="0.15">
      <c r="A919" s="2">
        <v>19</v>
      </c>
      <c r="B919" s="1" t="s">
        <v>101</v>
      </c>
      <c r="C919" s="4">
        <v>9</v>
      </c>
      <c r="D919" s="8">
        <v>1.07</v>
      </c>
      <c r="E919" s="4">
        <v>5</v>
      </c>
      <c r="F919" s="8">
        <v>0.83</v>
      </c>
      <c r="G919" s="4">
        <v>4</v>
      </c>
      <c r="H919" s="8">
        <v>1.69</v>
      </c>
      <c r="I919" s="4">
        <v>0</v>
      </c>
    </row>
    <row r="920" spans="1:9" x14ac:dyDescent="0.15">
      <c r="A920" s="2">
        <v>19</v>
      </c>
      <c r="B920" s="1" t="s">
        <v>93</v>
      </c>
      <c r="C920" s="4">
        <v>9</v>
      </c>
      <c r="D920" s="8">
        <v>1.07</v>
      </c>
      <c r="E920" s="4">
        <v>9</v>
      </c>
      <c r="F920" s="8">
        <v>1.5</v>
      </c>
      <c r="G920" s="4">
        <v>0</v>
      </c>
      <c r="H920" s="8">
        <v>0</v>
      </c>
      <c r="I920" s="4">
        <v>0</v>
      </c>
    </row>
    <row r="921" spans="1:9" x14ac:dyDescent="0.15">
      <c r="A921" s="1"/>
      <c r="C921" s="4"/>
      <c r="D921" s="8"/>
      <c r="E921" s="4"/>
      <c r="F921" s="8"/>
      <c r="G921" s="4"/>
      <c r="H921" s="8"/>
      <c r="I921" s="4"/>
    </row>
    <row r="922" spans="1:9" x14ac:dyDescent="0.15">
      <c r="A922" s="1" t="s">
        <v>41</v>
      </c>
      <c r="C922" s="4"/>
      <c r="D922" s="8"/>
      <c r="E922" s="4"/>
      <c r="F922" s="8"/>
      <c r="G922" s="4"/>
      <c r="H922" s="8"/>
      <c r="I922" s="4"/>
    </row>
    <row r="923" spans="1:9" x14ac:dyDescent="0.15">
      <c r="A923" s="2">
        <v>1</v>
      </c>
      <c r="B923" s="1" t="s">
        <v>74</v>
      </c>
      <c r="C923" s="4">
        <v>59</v>
      </c>
      <c r="D923" s="8">
        <v>8.83</v>
      </c>
      <c r="E923" s="4">
        <v>18</v>
      </c>
      <c r="F923" s="8">
        <v>5.0999999999999996</v>
      </c>
      <c r="G923" s="4">
        <v>41</v>
      </c>
      <c r="H923" s="8">
        <v>13.02</v>
      </c>
      <c r="I923" s="4">
        <v>0</v>
      </c>
    </row>
    <row r="924" spans="1:9" x14ac:dyDescent="0.15">
      <c r="A924" s="2">
        <v>2</v>
      </c>
      <c r="B924" s="1" t="s">
        <v>90</v>
      </c>
      <c r="C924" s="4">
        <v>50</v>
      </c>
      <c r="D924" s="8">
        <v>7.49</v>
      </c>
      <c r="E924" s="4">
        <v>40</v>
      </c>
      <c r="F924" s="8">
        <v>11.33</v>
      </c>
      <c r="G924" s="4">
        <v>10</v>
      </c>
      <c r="H924" s="8">
        <v>3.17</v>
      </c>
      <c r="I924" s="4">
        <v>0</v>
      </c>
    </row>
    <row r="925" spans="1:9" x14ac:dyDescent="0.15">
      <c r="A925" s="2">
        <v>3</v>
      </c>
      <c r="B925" s="1" t="s">
        <v>77</v>
      </c>
      <c r="C925" s="4">
        <v>47</v>
      </c>
      <c r="D925" s="8">
        <v>7.04</v>
      </c>
      <c r="E925" s="4">
        <v>13</v>
      </c>
      <c r="F925" s="8">
        <v>3.68</v>
      </c>
      <c r="G925" s="4">
        <v>34</v>
      </c>
      <c r="H925" s="8">
        <v>10.79</v>
      </c>
      <c r="I925" s="4">
        <v>0</v>
      </c>
    </row>
    <row r="926" spans="1:9" x14ac:dyDescent="0.15">
      <c r="A926" s="2">
        <v>3</v>
      </c>
      <c r="B926" s="1" t="s">
        <v>89</v>
      </c>
      <c r="C926" s="4">
        <v>47</v>
      </c>
      <c r="D926" s="8">
        <v>7.04</v>
      </c>
      <c r="E926" s="4">
        <v>43</v>
      </c>
      <c r="F926" s="8">
        <v>12.18</v>
      </c>
      <c r="G926" s="4">
        <v>4</v>
      </c>
      <c r="H926" s="8">
        <v>1.27</v>
      </c>
      <c r="I926" s="4">
        <v>0</v>
      </c>
    </row>
    <row r="927" spans="1:9" x14ac:dyDescent="0.15">
      <c r="A927" s="2">
        <v>5</v>
      </c>
      <c r="B927" s="1" t="s">
        <v>75</v>
      </c>
      <c r="C927" s="4">
        <v>38</v>
      </c>
      <c r="D927" s="8">
        <v>5.69</v>
      </c>
      <c r="E927" s="4">
        <v>19</v>
      </c>
      <c r="F927" s="8">
        <v>5.38</v>
      </c>
      <c r="G927" s="4">
        <v>19</v>
      </c>
      <c r="H927" s="8">
        <v>6.03</v>
      </c>
      <c r="I927" s="4">
        <v>0</v>
      </c>
    </row>
    <row r="928" spans="1:9" x14ac:dyDescent="0.15">
      <c r="A928" s="2">
        <v>6</v>
      </c>
      <c r="B928" s="1" t="s">
        <v>86</v>
      </c>
      <c r="C928" s="4">
        <v>30</v>
      </c>
      <c r="D928" s="8">
        <v>4.49</v>
      </c>
      <c r="E928" s="4">
        <v>17</v>
      </c>
      <c r="F928" s="8">
        <v>4.82</v>
      </c>
      <c r="G928" s="4">
        <v>13</v>
      </c>
      <c r="H928" s="8">
        <v>4.13</v>
      </c>
      <c r="I928" s="4">
        <v>0</v>
      </c>
    </row>
    <row r="929" spans="1:9" x14ac:dyDescent="0.15">
      <c r="A929" s="2">
        <v>7</v>
      </c>
      <c r="B929" s="1" t="s">
        <v>83</v>
      </c>
      <c r="C929" s="4">
        <v>27</v>
      </c>
      <c r="D929" s="8">
        <v>4.04</v>
      </c>
      <c r="E929" s="4">
        <v>21</v>
      </c>
      <c r="F929" s="8">
        <v>5.95</v>
      </c>
      <c r="G929" s="4">
        <v>6</v>
      </c>
      <c r="H929" s="8">
        <v>1.9</v>
      </c>
      <c r="I929" s="4">
        <v>0</v>
      </c>
    </row>
    <row r="930" spans="1:9" x14ac:dyDescent="0.15">
      <c r="A930" s="2">
        <v>7</v>
      </c>
      <c r="B930" s="1" t="s">
        <v>84</v>
      </c>
      <c r="C930" s="4">
        <v>27</v>
      </c>
      <c r="D930" s="8">
        <v>4.04</v>
      </c>
      <c r="E930" s="4">
        <v>17</v>
      </c>
      <c r="F930" s="8">
        <v>4.82</v>
      </c>
      <c r="G930" s="4">
        <v>10</v>
      </c>
      <c r="H930" s="8">
        <v>3.17</v>
      </c>
      <c r="I930" s="4">
        <v>0</v>
      </c>
    </row>
    <row r="931" spans="1:9" x14ac:dyDescent="0.15">
      <c r="A931" s="2">
        <v>9</v>
      </c>
      <c r="B931" s="1" t="s">
        <v>76</v>
      </c>
      <c r="C931" s="4">
        <v>26</v>
      </c>
      <c r="D931" s="8">
        <v>3.89</v>
      </c>
      <c r="E931" s="4">
        <v>10</v>
      </c>
      <c r="F931" s="8">
        <v>2.83</v>
      </c>
      <c r="G931" s="4">
        <v>16</v>
      </c>
      <c r="H931" s="8">
        <v>5.08</v>
      </c>
      <c r="I931" s="4">
        <v>0</v>
      </c>
    </row>
    <row r="932" spans="1:9" x14ac:dyDescent="0.15">
      <c r="A932" s="2">
        <v>9</v>
      </c>
      <c r="B932" s="1" t="s">
        <v>101</v>
      </c>
      <c r="C932" s="4">
        <v>26</v>
      </c>
      <c r="D932" s="8">
        <v>3.89</v>
      </c>
      <c r="E932" s="4">
        <v>10</v>
      </c>
      <c r="F932" s="8">
        <v>2.83</v>
      </c>
      <c r="G932" s="4">
        <v>16</v>
      </c>
      <c r="H932" s="8">
        <v>5.08</v>
      </c>
      <c r="I932" s="4">
        <v>0</v>
      </c>
    </row>
    <row r="933" spans="1:9" x14ac:dyDescent="0.15">
      <c r="A933" s="2">
        <v>11</v>
      </c>
      <c r="B933" s="1" t="s">
        <v>92</v>
      </c>
      <c r="C933" s="4">
        <v>25</v>
      </c>
      <c r="D933" s="8">
        <v>3.74</v>
      </c>
      <c r="E933" s="4">
        <v>21</v>
      </c>
      <c r="F933" s="8">
        <v>5.95</v>
      </c>
      <c r="G933" s="4">
        <v>4</v>
      </c>
      <c r="H933" s="8">
        <v>1.27</v>
      </c>
      <c r="I933" s="4">
        <v>0</v>
      </c>
    </row>
    <row r="934" spans="1:9" x14ac:dyDescent="0.15">
      <c r="A934" s="2">
        <v>12</v>
      </c>
      <c r="B934" s="1" t="s">
        <v>82</v>
      </c>
      <c r="C934" s="4">
        <v>21</v>
      </c>
      <c r="D934" s="8">
        <v>3.14</v>
      </c>
      <c r="E934" s="4">
        <v>18</v>
      </c>
      <c r="F934" s="8">
        <v>5.0999999999999996</v>
      </c>
      <c r="G934" s="4">
        <v>3</v>
      </c>
      <c r="H934" s="8">
        <v>0.95</v>
      </c>
      <c r="I934" s="4">
        <v>0</v>
      </c>
    </row>
    <row r="935" spans="1:9" x14ac:dyDescent="0.15">
      <c r="A935" s="2">
        <v>13</v>
      </c>
      <c r="B935" s="1" t="s">
        <v>88</v>
      </c>
      <c r="C935" s="4">
        <v>20</v>
      </c>
      <c r="D935" s="8">
        <v>2.99</v>
      </c>
      <c r="E935" s="4">
        <v>9</v>
      </c>
      <c r="F935" s="8">
        <v>2.5499999999999998</v>
      </c>
      <c r="G935" s="4">
        <v>11</v>
      </c>
      <c r="H935" s="8">
        <v>3.49</v>
      </c>
      <c r="I935" s="4">
        <v>0</v>
      </c>
    </row>
    <row r="936" spans="1:9" x14ac:dyDescent="0.15">
      <c r="A936" s="2">
        <v>14</v>
      </c>
      <c r="B936" s="1" t="s">
        <v>106</v>
      </c>
      <c r="C936" s="4">
        <v>19</v>
      </c>
      <c r="D936" s="8">
        <v>2.84</v>
      </c>
      <c r="E936" s="4">
        <v>15</v>
      </c>
      <c r="F936" s="8">
        <v>4.25</v>
      </c>
      <c r="G936" s="4">
        <v>4</v>
      </c>
      <c r="H936" s="8">
        <v>1.27</v>
      </c>
      <c r="I936" s="4">
        <v>0</v>
      </c>
    </row>
    <row r="937" spans="1:9" x14ac:dyDescent="0.15">
      <c r="A937" s="2">
        <v>15</v>
      </c>
      <c r="B937" s="1" t="s">
        <v>78</v>
      </c>
      <c r="C937" s="4">
        <v>18</v>
      </c>
      <c r="D937" s="8">
        <v>2.69</v>
      </c>
      <c r="E937" s="4">
        <v>4</v>
      </c>
      <c r="F937" s="8">
        <v>1.1299999999999999</v>
      </c>
      <c r="G937" s="4">
        <v>14</v>
      </c>
      <c r="H937" s="8">
        <v>4.4400000000000004</v>
      </c>
      <c r="I937" s="4">
        <v>0</v>
      </c>
    </row>
    <row r="938" spans="1:9" x14ac:dyDescent="0.15">
      <c r="A938" s="2">
        <v>16</v>
      </c>
      <c r="B938" s="1" t="s">
        <v>116</v>
      </c>
      <c r="C938" s="4">
        <v>12</v>
      </c>
      <c r="D938" s="8">
        <v>1.8</v>
      </c>
      <c r="E938" s="4">
        <v>5</v>
      </c>
      <c r="F938" s="8">
        <v>1.42</v>
      </c>
      <c r="G938" s="4">
        <v>7</v>
      </c>
      <c r="H938" s="8">
        <v>2.2200000000000002</v>
      </c>
      <c r="I938" s="4">
        <v>0</v>
      </c>
    </row>
    <row r="939" spans="1:9" x14ac:dyDescent="0.15">
      <c r="A939" s="2">
        <v>16</v>
      </c>
      <c r="B939" s="1" t="s">
        <v>93</v>
      </c>
      <c r="C939" s="4">
        <v>12</v>
      </c>
      <c r="D939" s="8">
        <v>1.8</v>
      </c>
      <c r="E939" s="4">
        <v>12</v>
      </c>
      <c r="F939" s="8">
        <v>3.4</v>
      </c>
      <c r="G939" s="4">
        <v>0</v>
      </c>
      <c r="H939" s="8">
        <v>0</v>
      </c>
      <c r="I939" s="4">
        <v>0</v>
      </c>
    </row>
    <row r="940" spans="1:9" x14ac:dyDescent="0.15">
      <c r="A940" s="2">
        <v>18</v>
      </c>
      <c r="B940" s="1" t="s">
        <v>87</v>
      </c>
      <c r="C940" s="4">
        <v>11</v>
      </c>
      <c r="D940" s="8">
        <v>1.65</v>
      </c>
      <c r="E940" s="4">
        <v>11</v>
      </c>
      <c r="F940" s="8">
        <v>3.12</v>
      </c>
      <c r="G940" s="4">
        <v>0</v>
      </c>
      <c r="H940" s="8">
        <v>0</v>
      </c>
      <c r="I940" s="4">
        <v>0</v>
      </c>
    </row>
    <row r="941" spans="1:9" x14ac:dyDescent="0.15">
      <c r="A941" s="2">
        <v>19</v>
      </c>
      <c r="B941" s="1" t="s">
        <v>117</v>
      </c>
      <c r="C941" s="4">
        <v>9</v>
      </c>
      <c r="D941" s="8">
        <v>1.35</v>
      </c>
      <c r="E941" s="4">
        <v>1</v>
      </c>
      <c r="F941" s="8">
        <v>0.28000000000000003</v>
      </c>
      <c r="G941" s="4">
        <v>8</v>
      </c>
      <c r="H941" s="8">
        <v>2.54</v>
      </c>
      <c r="I941" s="4">
        <v>0</v>
      </c>
    </row>
    <row r="942" spans="1:9" x14ac:dyDescent="0.15">
      <c r="A942" s="2">
        <v>20</v>
      </c>
      <c r="B942" s="1" t="s">
        <v>119</v>
      </c>
      <c r="C942" s="4">
        <v>8</v>
      </c>
      <c r="D942" s="8">
        <v>1.2</v>
      </c>
      <c r="E942" s="4">
        <v>6</v>
      </c>
      <c r="F942" s="8">
        <v>1.7</v>
      </c>
      <c r="G942" s="4">
        <v>2</v>
      </c>
      <c r="H942" s="8">
        <v>0.63</v>
      </c>
      <c r="I942" s="4">
        <v>0</v>
      </c>
    </row>
    <row r="943" spans="1:9" x14ac:dyDescent="0.15">
      <c r="A943" s="2">
        <v>20</v>
      </c>
      <c r="B943" s="1" t="s">
        <v>122</v>
      </c>
      <c r="C943" s="4">
        <v>8</v>
      </c>
      <c r="D943" s="8">
        <v>1.2</v>
      </c>
      <c r="E943" s="4">
        <v>1</v>
      </c>
      <c r="F943" s="8">
        <v>0.28000000000000003</v>
      </c>
      <c r="G943" s="4">
        <v>7</v>
      </c>
      <c r="H943" s="8">
        <v>2.2200000000000002</v>
      </c>
      <c r="I943" s="4">
        <v>0</v>
      </c>
    </row>
    <row r="944" spans="1:9" x14ac:dyDescent="0.15">
      <c r="A944" s="1"/>
      <c r="C944" s="4"/>
      <c r="D944" s="8"/>
      <c r="E944" s="4"/>
      <c r="F944" s="8"/>
      <c r="G944" s="4"/>
      <c r="H944" s="8"/>
      <c r="I944" s="4"/>
    </row>
    <row r="945" spans="1:9" x14ac:dyDescent="0.15">
      <c r="A945" s="1" t="s">
        <v>42</v>
      </c>
      <c r="C945" s="4"/>
      <c r="D945" s="8"/>
      <c r="E945" s="4"/>
      <c r="F945" s="8"/>
      <c r="G945" s="4"/>
      <c r="H945" s="8"/>
      <c r="I945" s="4"/>
    </row>
    <row r="946" spans="1:9" x14ac:dyDescent="0.15">
      <c r="A946" s="2">
        <v>1</v>
      </c>
      <c r="B946" s="1" t="s">
        <v>89</v>
      </c>
      <c r="C946" s="4">
        <v>87</v>
      </c>
      <c r="D946" s="8">
        <v>13.81</v>
      </c>
      <c r="E946" s="4">
        <v>83</v>
      </c>
      <c r="F946" s="8">
        <v>20.96</v>
      </c>
      <c r="G946" s="4">
        <v>3</v>
      </c>
      <c r="H946" s="8">
        <v>1.32</v>
      </c>
      <c r="I946" s="4">
        <v>1</v>
      </c>
    </row>
    <row r="947" spans="1:9" x14ac:dyDescent="0.15">
      <c r="A947" s="2">
        <v>2</v>
      </c>
      <c r="B947" s="1" t="s">
        <v>90</v>
      </c>
      <c r="C947" s="4">
        <v>86</v>
      </c>
      <c r="D947" s="8">
        <v>13.65</v>
      </c>
      <c r="E947" s="4">
        <v>75</v>
      </c>
      <c r="F947" s="8">
        <v>18.940000000000001</v>
      </c>
      <c r="G947" s="4">
        <v>11</v>
      </c>
      <c r="H947" s="8">
        <v>4.82</v>
      </c>
      <c r="I947" s="4">
        <v>0</v>
      </c>
    </row>
    <row r="948" spans="1:9" x14ac:dyDescent="0.15">
      <c r="A948" s="2">
        <v>3</v>
      </c>
      <c r="B948" s="1" t="s">
        <v>84</v>
      </c>
      <c r="C948" s="4">
        <v>40</v>
      </c>
      <c r="D948" s="8">
        <v>6.35</v>
      </c>
      <c r="E948" s="4">
        <v>24</v>
      </c>
      <c r="F948" s="8">
        <v>6.06</v>
      </c>
      <c r="G948" s="4">
        <v>16</v>
      </c>
      <c r="H948" s="8">
        <v>7.02</v>
      </c>
      <c r="I948" s="4">
        <v>0</v>
      </c>
    </row>
    <row r="949" spans="1:9" x14ac:dyDescent="0.15">
      <c r="A949" s="2">
        <v>4</v>
      </c>
      <c r="B949" s="1" t="s">
        <v>74</v>
      </c>
      <c r="C949" s="4">
        <v>38</v>
      </c>
      <c r="D949" s="8">
        <v>6.03</v>
      </c>
      <c r="E949" s="4">
        <v>5</v>
      </c>
      <c r="F949" s="8">
        <v>1.26</v>
      </c>
      <c r="G949" s="4">
        <v>33</v>
      </c>
      <c r="H949" s="8">
        <v>14.47</v>
      </c>
      <c r="I949" s="4">
        <v>0</v>
      </c>
    </row>
    <row r="950" spans="1:9" x14ac:dyDescent="0.15">
      <c r="A950" s="2">
        <v>5</v>
      </c>
      <c r="B950" s="1" t="s">
        <v>92</v>
      </c>
      <c r="C950" s="4">
        <v>37</v>
      </c>
      <c r="D950" s="8">
        <v>5.87</v>
      </c>
      <c r="E950" s="4">
        <v>31</v>
      </c>
      <c r="F950" s="8">
        <v>7.83</v>
      </c>
      <c r="G950" s="4">
        <v>6</v>
      </c>
      <c r="H950" s="8">
        <v>2.63</v>
      </c>
      <c r="I950" s="4">
        <v>0</v>
      </c>
    </row>
    <row r="951" spans="1:9" x14ac:dyDescent="0.15">
      <c r="A951" s="2">
        <v>6</v>
      </c>
      <c r="B951" s="1" t="s">
        <v>86</v>
      </c>
      <c r="C951" s="4">
        <v>32</v>
      </c>
      <c r="D951" s="8">
        <v>5.08</v>
      </c>
      <c r="E951" s="4">
        <v>23</v>
      </c>
      <c r="F951" s="8">
        <v>5.81</v>
      </c>
      <c r="G951" s="4">
        <v>9</v>
      </c>
      <c r="H951" s="8">
        <v>3.95</v>
      </c>
      <c r="I951" s="4">
        <v>0</v>
      </c>
    </row>
    <row r="952" spans="1:9" x14ac:dyDescent="0.15">
      <c r="A952" s="2">
        <v>7</v>
      </c>
      <c r="B952" s="1" t="s">
        <v>75</v>
      </c>
      <c r="C952" s="4">
        <v>29</v>
      </c>
      <c r="D952" s="8">
        <v>4.5999999999999996</v>
      </c>
      <c r="E952" s="4">
        <v>18</v>
      </c>
      <c r="F952" s="8">
        <v>4.55</v>
      </c>
      <c r="G952" s="4">
        <v>11</v>
      </c>
      <c r="H952" s="8">
        <v>4.82</v>
      </c>
      <c r="I952" s="4">
        <v>0</v>
      </c>
    </row>
    <row r="953" spans="1:9" x14ac:dyDescent="0.15">
      <c r="A953" s="2">
        <v>8</v>
      </c>
      <c r="B953" s="1" t="s">
        <v>82</v>
      </c>
      <c r="C953" s="4">
        <v>25</v>
      </c>
      <c r="D953" s="8">
        <v>3.97</v>
      </c>
      <c r="E953" s="4">
        <v>21</v>
      </c>
      <c r="F953" s="8">
        <v>5.3</v>
      </c>
      <c r="G953" s="4">
        <v>4</v>
      </c>
      <c r="H953" s="8">
        <v>1.75</v>
      </c>
      <c r="I953" s="4">
        <v>0</v>
      </c>
    </row>
    <row r="954" spans="1:9" x14ac:dyDescent="0.15">
      <c r="A954" s="2">
        <v>9</v>
      </c>
      <c r="B954" s="1" t="s">
        <v>83</v>
      </c>
      <c r="C954" s="4">
        <v>23</v>
      </c>
      <c r="D954" s="8">
        <v>3.65</v>
      </c>
      <c r="E954" s="4">
        <v>14</v>
      </c>
      <c r="F954" s="8">
        <v>3.54</v>
      </c>
      <c r="G954" s="4">
        <v>9</v>
      </c>
      <c r="H954" s="8">
        <v>3.95</v>
      </c>
      <c r="I954" s="4">
        <v>0</v>
      </c>
    </row>
    <row r="955" spans="1:9" x14ac:dyDescent="0.15">
      <c r="A955" s="2">
        <v>10</v>
      </c>
      <c r="B955" s="1" t="s">
        <v>91</v>
      </c>
      <c r="C955" s="4">
        <v>18</v>
      </c>
      <c r="D955" s="8">
        <v>2.86</v>
      </c>
      <c r="E955" s="4">
        <v>15</v>
      </c>
      <c r="F955" s="8">
        <v>3.79</v>
      </c>
      <c r="G955" s="4">
        <v>1</v>
      </c>
      <c r="H955" s="8">
        <v>0.44</v>
      </c>
      <c r="I955" s="4">
        <v>2</v>
      </c>
    </row>
    <row r="956" spans="1:9" x14ac:dyDescent="0.15">
      <c r="A956" s="2">
        <v>10</v>
      </c>
      <c r="B956" s="1" t="s">
        <v>93</v>
      </c>
      <c r="C956" s="4">
        <v>18</v>
      </c>
      <c r="D956" s="8">
        <v>2.86</v>
      </c>
      <c r="E956" s="4">
        <v>15</v>
      </c>
      <c r="F956" s="8">
        <v>3.79</v>
      </c>
      <c r="G956" s="4">
        <v>3</v>
      </c>
      <c r="H956" s="8">
        <v>1.32</v>
      </c>
      <c r="I956" s="4">
        <v>0</v>
      </c>
    </row>
    <row r="957" spans="1:9" x14ac:dyDescent="0.15">
      <c r="A957" s="2">
        <v>12</v>
      </c>
      <c r="B957" s="1" t="s">
        <v>76</v>
      </c>
      <c r="C957" s="4">
        <v>17</v>
      </c>
      <c r="D957" s="8">
        <v>2.7</v>
      </c>
      <c r="E957" s="4">
        <v>5</v>
      </c>
      <c r="F957" s="8">
        <v>1.26</v>
      </c>
      <c r="G957" s="4">
        <v>12</v>
      </c>
      <c r="H957" s="8">
        <v>5.26</v>
      </c>
      <c r="I957" s="4">
        <v>0</v>
      </c>
    </row>
    <row r="958" spans="1:9" x14ac:dyDescent="0.15">
      <c r="A958" s="2">
        <v>12</v>
      </c>
      <c r="B958" s="1" t="s">
        <v>85</v>
      </c>
      <c r="C958" s="4">
        <v>17</v>
      </c>
      <c r="D958" s="8">
        <v>2.7</v>
      </c>
      <c r="E958" s="4">
        <v>2</v>
      </c>
      <c r="F958" s="8">
        <v>0.51</v>
      </c>
      <c r="G958" s="4">
        <v>15</v>
      </c>
      <c r="H958" s="8">
        <v>6.58</v>
      </c>
      <c r="I958" s="4">
        <v>0</v>
      </c>
    </row>
    <row r="959" spans="1:9" x14ac:dyDescent="0.15">
      <c r="A959" s="2">
        <v>14</v>
      </c>
      <c r="B959" s="1" t="s">
        <v>87</v>
      </c>
      <c r="C959" s="4">
        <v>14</v>
      </c>
      <c r="D959" s="8">
        <v>2.2200000000000002</v>
      </c>
      <c r="E959" s="4">
        <v>13</v>
      </c>
      <c r="F959" s="8">
        <v>3.28</v>
      </c>
      <c r="G959" s="4">
        <v>1</v>
      </c>
      <c r="H959" s="8">
        <v>0.44</v>
      </c>
      <c r="I959" s="4">
        <v>0</v>
      </c>
    </row>
    <row r="960" spans="1:9" x14ac:dyDescent="0.15">
      <c r="A960" s="2">
        <v>15</v>
      </c>
      <c r="B960" s="1" t="s">
        <v>78</v>
      </c>
      <c r="C960" s="4">
        <v>11</v>
      </c>
      <c r="D960" s="8">
        <v>1.75</v>
      </c>
      <c r="E960" s="4">
        <v>4</v>
      </c>
      <c r="F960" s="8">
        <v>1.01</v>
      </c>
      <c r="G960" s="4">
        <v>7</v>
      </c>
      <c r="H960" s="8">
        <v>3.07</v>
      </c>
      <c r="I960" s="4">
        <v>0</v>
      </c>
    </row>
    <row r="961" spans="1:9" x14ac:dyDescent="0.15">
      <c r="A961" s="2">
        <v>16</v>
      </c>
      <c r="B961" s="1" t="s">
        <v>77</v>
      </c>
      <c r="C961" s="4">
        <v>10</v>
      </c>
      <c r="D961" s="8">
        <v>1.59</v>
      </c>
      <c r="E961" s="4">
        <v>3</v>
      </c>
      <c r="F961" s="8">
        <v>0.76</v>
      </c>
      <c r="G961" s="4">
        <v>7</v>
      </c>
      <c r="H961" s="8">
        <v>3.07</v>
      </c>
      <c r="I961" s="4">
        <v>0</v>
      </c>
    </row>
    <row r="962" spans="1:9" x14ac:dyDescent="0.15">
      <c r="A962" s="2">
        <v>17</v>
      </c>
      <c r="B962" s="1" t="s">
        <v>101</v>
      </c>
      <c r="C962" s="4">
        <v>8</v>
      </c>
      <c r="D962" s="8">
        <v>1.27</v>
      </c>
      <c r="E962" s="4">
        <v>3</v>
      </c>
      <c r="F962" s="8">
        <v>0.76</v>
      </c>
      <c r="G962" s="4">
        <v>5</v>
      </c>
      <c r="H962" s="8">
        <v>2.19</v>
      </c>
      <c r="I962" s="4">
        <v>0</v>
      </c>
    </row>
    <row r="963" spans="1:9" x14ac:dyDescent="0.15">
      <c r="A963" s="2">
        <v>17</v>
      </c>
      <c r="B963" s="1" t="s">
        <v>81</v>
      </c>
      <c r="C963" s="4">
        <v>8</v>
      </c>
      <c r="D963" s="8">
        <v>1.27</v>
      </c>
      <c r="E963" s="4">
        <v>6</v>
      </c>
      <c r="F963" s="8">
        <v>1.52</v>
      </c>
      <c r="G963" s="4">
        <v>2</v>
      </c>
      <c r="H963" s="8">
        <v>0.88</v>
      </c>
      <c r="I963" s="4">
        <v>0</v>
      </c>
    </row>
    <row r="964" spans="1:9" x14ac:dyDescent="0.15">
      <c r="A964" s="2">
        <v>17</v>
      </c>
      <c r="B964" s="1" t="s">
        <v>88</v>
      </c>
      <c r="C964" s="4">
        <v>8</v>
      </c>
      <c r="D964" s="8">
        <v>1.27</v>
      </c>
      <c r="E964" s="4">
        <v>5</v>
      </c>
      <c r="F964" s="8">
        <v>1.26</v>
      </c>
      <c r="G964" s="4">
        <v>3</v>
      </c>
      <c r="H964" s="8">
        <v>1.32</v>
      </c>
      <c r="I964" s="4">
        <v>0</v>
      </c>
    </row>
    <row r="965" spans="1:9" x14ac:dyDescent="0.15">
      <c r="A965" s="2">
        <v>20</v>
      </c>
      <c r="B965" s="1" t="s">
        <v>79</v>
      </c>
      <c r="C965" s="4">
        <v>7</v>
      </c>
      <c r="D965" s="8">
        <v>1.1100000000000001</v>
      </c>
      <c r="E965" s="4">
        <v>3</v>
      </c>
      <c r="F965" s="8">
        <v>0.76</v>
      </c>
      <c r="G965" s="4">
        <v>4</v>
      </c>
      <c r="H965" s="8">
        <v>1.75</v>
      </c>
      <c r="I965" s="4">
        <v>0</v>
      </c>
    </row>
    <row r="966" spans="1:9" x14ac:dyDescent="0.15">
      <c r="A966" s="1"/>
      <c r="C966" s="4"/>
      <c r="D966" s="8"/>
      <c r="E966" s="4"/>
      <c r="F966" s="8"/>
      <c r="G966" s="4"/>
      <c r="H966" s="8"/>
      <c r="I966" s="4"/>
    </row>
    <row r="967" spans="1:9" x14ac:dyDescent="0.15">
      <c r="A967" s="1" t="s">
        <v>43</v>
      </c>
      <c r="C967" s="4"/>
      <c r="D967" s="8"/>
      <c r="E967" s="4"/>
      <c r="F967" s="8"/>
      <c r="G967" s="4"/>
      <c r="H967" s="8"/>
      <c r="I967" s="4"/>
    </row>
    <row r="968" spans="1:9" x14ac:dyDescent="0.15">
      <c r="A968" s="2">
        <v>1</v>
      </c>
      <c r="B968" s="1" t="s">
        <v>74</v>
      </c>
      <c r="C968" s="4">
        <v>45</v>
      </c>
      <c r="D968" s="8">
        <v>14.02</v>
      </c>
      <c r="E968" s="4">
        <v>25</v>
      </c>
      <c r="F968" s="8">
        <v>10.68</v>
      </c>
      <c r="G968" s="4">
        <v>20</v>
      </c>
      <c r="H968" s="8">
        <v>23.26</v>
      </c>
      <c r="I968" s="4">
        <v>0</v>
      </c>
    </row>
    <row r="969" spans="1:9" x14ac:dyDescent="0.15">
      <c r="A969" s="2">
        <v>2</v>
      </c>
      <c r="B969" s="1" t="s">
        <v>90</v>
      </c>
      <c r="C969" s="4">
        <v>29</v>
      </c>
      <c r="D969" s="8">
        <v>9.0299999999999994</v>
      </c>
      <c r="E969" s="4">
        <v>26</v>
      </c>
      <c r="F969" s="8">
        <v>11.11</v>
      </c>
      <c r="G969" s="4">
        <v>3</v>
      </c>
      <c r="H969" s="8">
        <v>3.49</v>
      </c>
      <c r="I969" s="4">
        <v>0</v>
      </c>
    </row>
    <row r="970" spans="1:9" x14ac:dyDescent="0.15">
      <c r="A970" s="2">
        <v>3</v>
      </c>
      <c r="B970" s="1" t="s">
        <v>75</v>
      </c>
      <c r="C970" s="4">
        <v>27</v>
      </c>
      <c r="D970" s="8">
        <v>8.41</v>
      </c>
      <c r="E970" s="4">
        <v>24</v>
      </c>
      <c r="F970" s="8">
        <v>10.26</v>
      </c>
      <c r="G970" s="4">
        <v>3</v>
      </c>
      <c r="H970" s="8">
        <v>3.49</v>
      </c>
      <c r="I970" s="4">
        <v>0</v>
      </c>
    </row>
    <row r="971" spans="1:9" x14ac:dyDescent="0.15">
      <c r="A971" s="2">
        <v>4</v>
      </c>
      <c r="B971" s="1" t="s">
        <v>84</v>
      </c>
      <c r="C971" s="4">
        <v>26</v>
      </c>
      <c r="D971" s="8">
        <v>8.1</v>
      </c>
      <c r="E971" s="4">
        <v>20</v>
      </c>
      <c r="F971" s="8">
        <v>8.5500000000000007</v>
      </c>
      <c r="G971" s="4">
        <v>6</v>
      </c>
      <c r="H971" s="8">
        <v>6.98</v>
      </c>
      <c r="I971" s="4">
        <v>0</v>
      </c>
    </row>
    <row r="972" spans="1:9" x14ac:dyDescent="0.15">
      <c r="A972" s="2">
        <v>5</v>
      </c>
      <c r="B972" s="1" t="s">
        <v>89</v>
      </c>
      <c r="C972" s="4">
        <v>17</v>
      </c>
      <c r="D972" s="8">
        <v>5.3</v>
      </c>
      <c r="E972" s="4">
        <v>16</v>
      </c>
      <c r="F972" s="8">
        <v>6.84</v>
      </c>
      <c r="G972" s="4">
        <v>1</v>
      </c>
      <c r="H972" s="8">
        <v>1.1599999999999999</v>
      </c>
      <c r="I972" s="4">
        <v>0</v>
      </c>
    </row>
    <row r="973" spans="1:9" x14ac:dyDescent="0.15">
      <c r="A973" s="2">
        <v>6</v>
      </c>
      <c r="B973" s="1" t="s">
        <v>112</v>
      </c>
      <c r="C973" s="4">
        <v>13</v>
      </c>
      <c r="D973" s="8">
        <v>4.05</v>
      </c>
      <c r="E973" s="4">
        <v>9</v>
      </c>
      <c r="F973" s="8">
        <v>3.85</v>
      </c>
      <c r="G973" s="4">
        <v>4</v>
      </c>
      <c r="H973" s="8">
        <v>4.6500000000000004</v>
      </c>
      <c r="I973" s="4">
        <v>0</v>
      </c>
    </row>
    <row r="974" spans="1:9" x14ac:dyDescent="0.15">
      <c r="A974" s="2">
        <v>7</v>
      </c>
      <c r="B974" s="1" t="s">
        <v>76</v>
      </c>
      <c r="C974" s="4">
        <v>11</v>
      </c>
      <c r="D974" s="8">
        <v>3.43</v>
      </c>
      <c r="E974" s="4">
        <v>11</v>
      </c>
      <c r="F974" s="8">
        <v>4.7</v>
      </c>
      <c r="G974" s="4">
        <v>0</v>
      </c>
      <c r="H974" s="8">
        <v>0</v>
      </c>
      <c r="I974" s="4">
        <v>0</v>
      </c>
    </row>
    <row r="975" spans="1:9" x14ac:dyDescent="0.15">
      <c r="A975" s="2">
        <v>7</v>
      </c>
      <c r="B975" s="1" t="s">
        <v>77</v>
      </c>
      <c r="C975" s="4">
        <v>11</v>
      </c>
      <c r="D975" s="8">
        <v>3.43</v>
      </c>
      <c r="E975" s="4">
        <v>7</v>
      </c>
      <c r="F975" s="8">
        <v>2.99</v>
      </c>
      <c r="G975" s="4">
        <v>4</v>
      </c>
      <c r="H975" s="8">
        <v>4.6500000000000004</v>
      </c>
      <c r="I975" s="4">
        <v>0</v>
      </c>
    </row>
    <row r="976" spans="1:9" x14ac:dyDescent="0.15">
      <c r="A976" s="2">
        <v>7</v>
      </c>
      <c r="B976" s="1" t="s">
        <v>82</v>
      </c>
      <c r="C976" s="4">
        <v>11</v>
      </c>
      <c r="D976" s="8">
        <v>3.43</v>
      </c>
      <c r="E976" s="4">
        <v>10</v>
      </c>
      <c r="F976" s="8">
        <v>4.2699999999999996</v>
      </c>
      <c r="G976" s="4">
        <v>1</v>
      </c>
      <c r="H976" s="8">
        <v>1.1599999999999999</v>
      </c>
      <c r="I976" s="4">
        <v>0</v>
      </c>
    </row>
    <row r="977" spans="1:9" x14ac:dyDescent="0.15">
      <c r="A977" s="2">
        <v>10</v>
      </c>
      <c r="B977" s="1" t="s">
        <v>115</v>
      </c>
      <c r="C977" s="4">
        <v>10</v>
      </c>
      <c r="D977" s="8">
        <v>3.12</v>
      </c>
      <c r="E977" s="4">
        <v>2</v>
      </c>
      <c r="F977" s="8">
        <v>0.85</v>
      </c>
      <c r="G977" s="4">
        <v>8</v>
      </c>
      <c r="H977" s="8">
        <v>9.3000000000000007</v>
      </c>
      <c r="I977" s="4">
        <v>0</v>
      </c>
    </row>
    <row r="978" spans="1:9" x14ac:dyDescent="0.15">
      <c r="A978" s="2">
        <v>10</v>
      </c>
      <c r="B978" s="1" t="s">
        <v>83</v>
      </c>
      <c r="C978" s="4">
        <v>10</v>
      </c>
      <c r="D978" s="8">
        <v>3.12</v>
      </c>
      <c r="E978" s="4">
        <v>8</v>
      </c>
      <c r="F978" s="8">
        <v>3.42</v>
      </c>
      <c r="G978" s="4">
        <v>2</v>
      </c>
      <c r="H978" s="8">
        <v>2.33</v>
      </c>
      <c r="I978" s="4">
        <v>0</v>
      </c>
    </row>
    <row r="979" spans="1:9" x14ac:dyDescent="0.15">
      <c r="A979" s="2">
        <v>12</v>
      </c>
      <c r="B979" s="1" t="s">
        <v>92</v>
      </c>
      <c r="C979" s="4">
        <v>9</v>
      </c>
      <c r="D979" s="8">
        <v>2.8</v>
      </c>
      <c r="E979" s="4">
        <v>9</v>
      </c>
      <c r="F979" s="8">
        <v>3.85</v>
      </c>
      <c r="G979" s="4">
        <v>0</v>
      </c>
      <c r="H979" s="8">
        <v>0</v>
      </c>
      <c r="I979" s="4">
        <v>0</v>
      </c>
    </row>
    <row r="980" spans="1:9" x14ac:dyDescent="0.15">
      <c r="A980" s="2">
        <v>13</v>
      </c>
      <c r="B980" s="1" t="s">
        <v>117</v>
      </c>
      <c r="C980" s="4">
        <v>8</v>
      </c>
      <c r="D980" s="8">
        <v>2.4900000000000002</v>
      </c>
      <c r="E980" s="4">
        <v>7</v>
      </c>
      <c r="F980" s="8">
        <v>2.99</v>
      </c>
      <c r="G980" s="4">
        <v>1</v>
      </c>
      <c r="H980" s="8">
        <v>1.1599999999999999</v>
      </c>
      <c r="I980" s="4">
        <v>0</v>
      </c>
    </row>
    <row r="981" spans="1:9" x14ac:dyDescent="0.15">
      <c r="A981" s="2">
        <v>13</v>
      </c>
      <c r="B981" s="1" t="s">
        <v>88</v>
      </c>
      <c r="C981" s="4">
        <v>8</v>
      </c>
      <c r="D981" s="8">
        <v>2.4900000000000002</v>
      </c>
      <c r="E981" s="4">
        <v>5</v>
      </c>
      <c r="F981" s="8">
        <v>2.14</v>
      </c>
      <c r="G981" s="4">
        <v>3</v>
      </c>
      <c r="H981" s="8">
        <v>3.49</v>
      </c>
      <c r="I981" s="4">
        <v>0</v>
      </c>
    </row>
    <row r="982" spans="1:9" x14ac:dyDescent="0.15">
      <c r="A982" s="2">
        <v>13</v>
      </c>
      <c r="B982" s="1" t="s">
        <v>106</v>
      </c>
      <c r="C982" s="4">
        <v>8</v>
      </c>
      <c r="D982" s="8">
        <v>2.4900000000000002</v>
      </c>
      <c r="E982" s="4">
        <v>8</v>
      </c>
      <c r="F982" s="8">
        <v>3.42</v>
      </c>
      <c r="G982" s="4">
        <v>0</v>
      </c>
      <c r="H982" s="8">
        <v>0</v>
      </c>
      <c r="I982" s="4">
        <v>0</v>
      </c>
    </row>
    <row r="983" spans="1:9" x14ac:dyDescent="0.15">
      <c r="A983" s="2">
        <v>16</v>
      </c>
      <c r="B983" s="1" t="s">
        <v>81</v>
      </c>
      <c r="C983" s="4">
        <v>7</v>
      </c>
      <c r="D983" s="8">
        <v>2.1800000000000002</v>
      </c>
      <c r="E983" s="4">
        <v>6</v>
      </c>
      <c r="F983" s="8">
        <v>2.56</v>
      </c>
      <c r="G983" s="4">
        <v>1</v>
      </c>
      <c r="H983" s="8">
        <v>1.1599999999999999</v>
      </c>
      <c r="I983" s="4">
        <v>0</v>
      </c>
    </row>
    <row r="984" spans="1:9" x14ac:dyDescent="0.15">
      <c r="A984" s="2">
        <v>17</v>
      </c>
      <c r="B984" s="1" t="s">
        <v>93</v>
      </c>
      <c r="C984" s="4">
        <v>6</v>
      </c>
      <c r="D984" s="8">
        <v>1.87</v>
      </c>
      <c r="E984" s="4">
        <v>6</v>
      </c>
      <c r="F984" s="8">
        <v>2.56</v>
      </c>
      <c r="G984" s="4">
        <v>0</v>
      </c>
      <c r="H984" s="8">
        <v>0</v>
      </c>
      <c r="I984" s="4">
        <v>0</v>
      </c>
    </row>
    <row r="985" spans="1:9" x14ac:dyDescent="0.15">
      <c r="A985" s="2">
        <v>18</v>
      </c>
      <c r="B985" s="1" t="s">
        <v>113</v>
      </c>
      <c r="C985" s="4">
        <v>5</v>
      </c>
      <c r="D985" s="8">
        <v>1.56</v>
      </c>
      <c r="E985" s="4">
        <v>2</v>
      </c>
      <c r="F985" s="8">
        <v>0.85</v>
      </c>
      <c r="G985" s="4">
        <v>3</v>
      </c>
      <c r="H985" s="8">
        <v>3.49</v>
      </c>
      <c r="I985" s="4">
        <v>0</v>
      </c>
    </row>
    <row r="986" spans="1:9" x14ac:dyDescent="0.15">
      <c r="A986" s="2">
        <v>18</v>
      </c>
      <c r="B986" s="1" t="s">
        <v>119</v>
      </c>
      <c r="C986" s="4">
        <v>5</v>
      </c>
      <c r="D986" s="8">
        <v>1.56</v>
      </c>
      <c r="E986" s="4">
        <v>5</v>
      </c>
      <c r="F986" s="8">
        <v>2.14</v>
      </c>
      <c r="G986" s="4">
        <v>0</v>
      </c>
      <c r="H986" s="8">
        <v>0</v>
      </c>
      <c r="I986" s="4">
        <v>0</v>
      </c>
    </row>
    <row r="987" spans="1:9" x14ac:dyDescent="0.15">
      <c r="A987" s="2">
        <v>18</v>
      </c>
      <c r="B987" s="1" t="s">
        <v>120</v>
      </c>
      <c r="C987" s="4">
        <v>5</v>
      </c>
      <c r="D987" s="8">
        <v>1.56</v>
      </c>
      <c r="E987" s="4">
        <v>2</v>
      </c>
      <c r="F987" s="8">
        <v>0.85</v>
      </c>
      <c r="G987" s="4">
        <v>3</v>
      </c>
      <c r="H987" s="8">
        <v>3.49</v>
      </c>
      <c r="I987" s="4">
        <v>0</v>
      </c>
    </row>
    <row r="988" spans="1:9" x14ac:dyDescent="0.15">
      <c r="A988" s="2">
        <v>18</v>
      </c>
      <c r="B988" s="1" t="s">
        <v>101</v>
      </c>
      <c r="C988" s="4">
        <v>5</v>
      </c>
      <c r="D988" s="8">
        <v>1.56</v>
      </c>
      <c r="E988" s="4">
        <v>3</v>
      </c>
      <c r="F988" s="8">
        <v>1.28</v>
      </c>
      <c r="G988" s="4">
        <v>2</v>
      </c>
      <c r="H988" s="8">
        <v>2.33</v>
      </c>
      <c r="I988" s="4">
        <v>0</v>
      </c>
    </row>
    <row r="989" spans="1:9" x14ac:dyDescent="0.15">
      <c r="A989" s="1"/>
      <c r="C989" s="4"/>
      <c r="D989" s="8"/>
      <c r="E989" s="4"/>
      <c r="F989" s="8"/>
      <c r="G989" s="4"/>
      <c r="H989" s="8"/>
      <c r="I989" s="4"/>
    </row>
    <row r="990" spans="1:9" x14ac:dyDescent="0.15">
      <c r="A990" s="1" t="s">
        <v>44</v>
      </c>
      <c r="C990" s="4"/>
      <c r="D990" s="8"/>
      <c r="E990" s="4"/>
      <c r="F990" s="8"/>
      <c r="G990" s="4"/>
      <c r="H990" s="8"/>
      <c r="I990" s="4"/>
    </row>
    <row r="991" spans="1:9" x14ac:dyDescent="0.15">
      <c r="A991" s="2">
        <v>1</v>
      </c>
      <c r="B991" s="1" t="s">
        <v>90</v>
      </c>
      <c r="C991" s="4">
        <v>55</v>
      </c>
      <c r="D991" s="8">
        <v>9.91</v>
      </c>
      <c r="E991" s="4">
        <v>48</v>
      </c>
      <c r="F991" s="8">
        <v>13.79</v>
      </c>
      <c r="G991" s="4">
        <v>7</v>
      </c>
      <c r="H991" s="8">
        <v>3.38</v>
      </c>
      <c r="I991" s="4">
        <v>0</v>
      </c>
    </row>
    <row r="992" spans="1:9" x14ac:dyDescent="0.15">
      <c r="A992" s="2">
        <v>2</v>
      </c>
      <c r="B992" s="1" t="s">
        <v>84</v>
      </c>
      <c r="C992" s="4">
        <v>49</v>
      </c>
      <c r="D992" s="8">
        <v>8.83</v>
      </c>
      <c r="E992" s="4">
        <v>26</v>
      </c>
      <c r="F992" s="8">
        <v>7.47</v>
      </c>
      <c r="G992" s="4">
        <v>23</v>
      </c>
      <c r="H992" s="8">
        <v>11.11</v>
      </c>
      <c r="I992" s="4">
        <v>0</v>
      </c>
    </row>
    <row r="993" spans="1:9" x14ac:dyDescent="0.15">
      <c r="A993" s="2">
        <v>3</v>
      </c>
      <c r="B993" s="1" t="s">
        <v>74</v>
      </c>
      <c r="C993" s="4">
        <v>45</v>
      </c>
      <c r="D993" s="8">
        <v>8.11</v>
      </c>
      <c r="E993" s="4">
        <v>15</v>
      </c>
      <c r="F993" s="8">
        <v>4.3099999999999996</v>
      </c>
      <c r="G993" s="4">
        <v>30</v>
      </c>
      <c r="H993" s="8">
        <v>14.49</v>
      </c>
      <c r="I993" s="4">
        <v>0</v>
      </c>
    </row>
    <row r="994" spans="1:9" x14ac:dyDescent="0.15">
      <c r="A994" s="2">
        <v>4</v>
      </c>
      <c r="B994" s="1" t="s">
        <v>86</v>
      </c>
      <c r="C994" s="4">
        <v>40</v>
      </c>
      <c r="D994" s="8">
        <v>7.21</v>
      </c>
      <c r="E994" s="4">
        <v>27</v>
      </c>
      <c r="F994" s="8">
        <v>7.76</v>
      </c>
      <c r="G994" s="4">
        <v>13</v>
      </c>
      <c r="H994" s="8">
        <v>6.28</v>
      </c>
      <c r="I994" s="4">
        <v>0</v>
      </c>
    </row>
    <row r="995" spans="1:9" x14ac:dyDescent="0.15">
      <c r="A995" s="2">
        <v>4</v>
      </c>
      <c r="B995" s="1" t="s">
        <v>89</v>
      </c>
      <c r="C995" s="4">
        <v>40</v>
      </c>
      <c r="D995" s="8">
        <v>7.21</v>
      </c>
      <c r="E995" s="4">
        <v>37</v>
      </c>
      <c r="F995" s="8">
        <v>10.63</v>
      </c>
      <c r="G995" s="4">
        <v>3</v>
      </c>
      <c r="H995" s="8">
        <v>1.45</v>
      </c>
      <c r="I995" s="4">
        <v>0</v>
      </c>
    </row>
    <row r="996" spans="1:9" x14ac:dyDescent="0.15">
      <c r="A996" s="2">
        <v>6</v>
      </c>
      <c r="B996" s="1" t="s">
        <v>92</v>
      </c>
      <c r="C996" s="4">
        <v>29</v>
      </c>
      <c r="D996" s="8">
        <v>5.23</v>
      </c>
      <c r="E996" s="4">
        <v>23</v>
      </c>
      <c r="F996" s="8">
        <v>6.61</v>
      </c>
      <c r="G996" s="4">
        <v>6</v>
      </c>
      <c r="H996" s="8">
        <v>2.9</v>
      </c>
      <c r="I996" s="4">
        <v>0</v>
      </c>
    </row>
    <row r="997" spans="1:9" x14ac:dyDescent="0.15">
      <c r="A997" s="2">
        <v>7</v>
      </c>
      <c r="B997" s="1" t="s">
        <v>82</v>
      </c>
      <c r="C997" s="4">
        <v>22</v>
      </c>
      <c r="D997" s="8">
        <v>3.96</v>
      </c>
      <c r="E997" s="4">
        <v>17</v>
      </c>
      <c r="F997" s="8">
        <v>4.8899999999999997</v>
      </c>
      <c r="G997" s="4">
        <v>5</v>
      </c>
      <c r="H997" s="8">
        <v>2.42</v>
      </c>
      <c r="I997" s="4">
        <v>0</v>
      </c>
    </row>
    <row r="998" spans="1:9" x14ac:dyDescent="0.15">
      <c r="A998" s="2">
        <v>8</v>
      </c>
      <c r="B998" s="1" t="s">
        <v>75</v>
      </c>
      <c r="C998" s="4">
        <v>21</v>
      </c>
      <c r="D998" s="8">
        <v>3.78</v>
      </c>
      <c r="E998" s="4">
        <v>17</v>
      </c>
      <c r="F998" s="8">
        <v>4.8899999999999997</v>
      </c>
      <c r="G998" s="4">
        <v>4</v>
      </c>
      <c r="H998" s="8">
        <v>1.93</v>
      </c>
      <c r="I998" s="4">
        <v>0</v>
      </c>
    </row>
    <row r="999" spans="1:9" x14ac:dyDescent="0.15">
      <c r="A999" s="2">
        <v>8</v>
      </c>
      <c r="B999" s="1" t="s">
        <v>83</v>
      </c>
      <c r="C999" s="4">
        <v>21</v>
      </c>
      <c r="D999" s="8">
        <v>3.78</v>
      </c>
      <c r="E999" s="4">
        <v>14</v>
      </c>
      <c r="F999" s="8">
        <v>4.0199999999999996</v>
      </c>
      <c r="G999" s="4">
        <v>7</v>
      </c>
      <c r="H999" s="8">
        <v>3.38</v>
      </c>
      <c r="I999" s="4">
        <v>0</v>
      </c>
    </row>
    <row r="1000" spans="1:9" x14ac:dyDescent="0.15">
      <c r="A1000" s="2">
        <v>10</v>
      </c>
      <c r="B1000" s="1" t="s">
        <v>76</v>
      </c>
      <c r="C1000" s="4">
        <v>17</v>
      </c>
      <c r="D1000" s="8">
        <v>3.06</v>
      </c>
      <c r="E1000" s="4">
        <v>4</v>
      </c>
      <c r="F1000" s="8">
        <v>1.1499999999999999</v>
      </c>
      <c r="G1000" s="4">
        <v>13</v>
      </c>
      <c r="H1000" s="8">
        <v>6.28</v>
      </c>
      <c r="I1000" s="4">
        <v>0</v>
      </c>
    </row>
    <row r="1001" spans="1:9" x14ac:dyDescent="0.15">
      <c r="A1001" s="2">
        <v>11</v>
      </c>
      <c r="B1001" s="1" t="s">
        <v>77</v>
      </c>
      <c r="C1001" s="4">
        <v>15</v>
      </c>
      <c r="D1001" s="8">
        <v>2.7</v>
      </c>
      <c r="E1001" s="4">
        <v>11</v>
      </c>
      <c r="F1001" s="8">
        <v>3.16</v>
      </c>
      <c r="G1001" s="4">
        <v>4</v>
      </c>
      <c r="H1001" s="8">
        <v>1.93</v>
      </c>
      <c r="I1001" s="4">
        <v>0</v>
      </c>
    </row>
    <row r="1002" spans="1:9" x14ac:dyDescent="0.15">
      <c r="A1002" s="2">
        <v>11</v>
      </c>
      <c r="B1002" s="1" t="s">
        <v>103</v>
      </c>
      <c r="C1002" s="4">
        <v>15</v>
      </c>
      <c r="D1002" s="8">
        <v>2.7</v>
      </c>
      <c r="E1002" s="4">
        <v>13</v>
      </c>
      <c r="F1002" s="8">
        <v>3.74</v>
      </c>
      <c r="G1002" s="4">
        <v>2</v>
      </c>
      <c r="H1002" s="8">
        <v>0.97</v>
      </c>
      <c r="I1002" s="4">
        <v>0</v>
      </c>
    </row>
    <row r="1003" spans="1:9" x14ac:dyDescent="0.15">
      <c r="A1003" s="2">
        <v>13</v>
      </c>
      <c r="B1003" s="1" t="s">
        <v>88</v>
      </c>
      <c r="C1003" s="4">
        <v>14</v>
      </c>
      <c r="D1003" s="8">
        <v>2.52</v>
      </c>
      <c r="E1003" s="4">
        <v>5</v>
      </c>
      <c r="F1003" s="8">
        <v>1.44</v>
      </c>
      <c r="G1003" s="4">
        <v>9</v>
      </c>
      <c r="H1003" s="8">
        <v>4.3499999999999996</v>
      </c>
      <c r="I1003" s="4">
        <v>0</v>
      </c>
    </row>
    <row r="1004" spans="1:9" x14ac:dyDescent="0.15">
      <c r="A1004" s="2">
        <v>14</v>
      </c>
      <c r="B1004" s="1" t="s">
        <v>81</v>
      </c>
      <c r="C1004" s="4">
        <v>11</v>
      </c>
      <c r="D1004" s="8">
        <v>1.98</v>
      </c>
      <c r="E1004" s="4">
        <v>9</v>
      </c>
      <c r="F1004" s="8">
        <v>2.59</v>
      </c>
      <c r="G1004" s="4">
        <v>2</v>
      </c>
      <c r="H1004" s="8">
        <v>0.97</v>
      </c>
      <c r="I1004" s="4">
        <v>0</v>
      </c>
    </row>
    <row r="1005" spans="1:9" x14ac:dyDescent="0.15">
      <c r="A1005" s="2">
        <v>14</v>
      </c>
      <c r="B1005" s="1" t="s">
        <v>93</v>
      </c>
      <c r="C1005" s="4">
        <v>11</v>
      </c>
      <c r="D1005" s="8">
        <v>1.98</v>
      </c>
      <c r="E1005" s="4">
        <v>11</v>
      </c>
      <c r="F1005" s="8">
        <v>3.16</v>
      </c>
      <c r="G1005" s="4">
        <v>0</v>
      </c>
      <c r="H1005" s="8">
        <v>0</v>
      </c>
      <c r="I1005" s="4">
        <v>0</v>
      </c>
    </row>
    <row r="1006" spans="1:9" x14ac:dyDescent="0.15">
      <c r="A1006" s="2">
        <v>16</v>
      </c>
      <c r="B1006" s="1" t="s">
        <v>106</v>
      </c>
      <c r="C1006" s="4">
        <v>10</v>
      </c>
      <c r="D1006" s="8">
        <v>1.8</v>
      </c>
      <c r="E1006" s="4">
        <v>8</v>
      </c>
      <c r="F1006" s="8">
        <v>2.2999999999999998</v>
      </c>
      <c r="G1006" s="4">
        <v>2</v>
      </c>
      <c r="H1006" s="8">
        <v>0.97</v>
      </c>
      <c r="I1006" s="4">
        <v>0</v>
      </c>
    </row>
    <row r="1007" spans="1:9" x14ac:dyDescent="0.15">
      <c r="A1007" s="2">
        <v>17</v>
      </c>
      <c r="B1007" s="1" t="s">
        <v>101</v>
      </c>
      <c r="C1007" s="4">
        <v>9</v>
      </c>
      <c r="D1007" s="8">
        <v>1.62</v>
      </c>
      <c r="E1007" s="4">
        <v>4</v>
      </c>
      <c r="F1007" s="8">
        <v>1.1499999999999999</v>
      </c>
      <c r="G1007" s="4">
        <v>5</v>
      </c>
      <c r="H1007" s="8">
        <v>2.42</v>
      </c>
      <c r="I1007" s="4">
        <v>0</v>
      </c>
    </row>
    <row r="1008" spans="1:9" x14ac:dyDescent="0.15">
      <c r="A1008" s="2">
        <v>17</v>
      </c>
      <c r="B1008" s="1" t="s">
        <v>117</v>
      </c>
      <c r="C1008" s="4">
        <v>9</v>
      </c>
      <c r="D1008" s="8">
        <v>1.62</v>
      </c>
      <c r="E1008" s="4">
        <v>3</v>
      </c>
      <c r="F1008" s="8">
        <v>0.86</v>
      </c>
      <c r="G1008" s="4">
        <v>6</v>
      </c>
      <c r="H1008" s="8">
        <v>2.9</v>
      </c>
      <c r="I1008" s="4">
        <v>0</v>
      </c>
    </row>
    <row r="1009" spans="1:9" x14ac:dyDescent="0.15">
      <c r="A1009" s="2">
        <v>17</v>
      </c>
      <c r="B1009" s="1" t="s">
        <v>78</v>
      </c>
      <c r="C1009" s="4">
        <v>9</v>
      </c>
      <c r="D1009" s="8">
        <v>1.62</v>
      </c>
      <c r="E1009" s="4">
        <v>3</v>
      </c>
      <c r="F1009" s="8">
        <v>0.86</v>
      </c>
      <c r="G1009" s="4">
        <v>6</v>
      </c>
      <c r="H1009" s="8">
        <v>2.9</v>
      </c>
      <c r="I1009" s="4">
        <v>0</v>
      </c>
    </row>
    <row r="1010" spans="1:9" x14ac:dyDescent="0.15">
      <c r="A1010" s="2">
        <v>20</v>
      </c>
      <c r="B1010" s="1" t="s">
        <v>91</v>
      </c>
      <c r="C1010" s="4">
        <v>7</v>
      </c>
      <c r="D1010" s="8">
        <v>1.26</v>
      </c>
      <c r="E1010" s="4">
        <v>6</v>
      </c>
      <c r="F1010" s="8">
        <v>1.72</v>
      </c>
      <c r="G1010" s="4">
        <v>1</v>
      </c>
      <c r="H1010" s="8">
        <v>0.48</v>
      </c>
      <c r="I1010" s="4">
        <v>0</v>
      </c>
    </row>
    <row r="1011" spans="1:9" x14ac:dyDescent="0.15">
      <c r="A1011" s="1"/>
      <c r="C1011" s="4"/>
      <c r="D1011" s="8"/>
      <c r="E1011" s="4"/>
      <c r="F1011" s="8"/>
      <c r="G1011" s="4"/>
      <c r="H1011" s="8"/>
      <c r="I1011" s="4"/>
    </row>
    <row r="1012" spans="1:9" x14ac:dyDescent="0.15">
      <c r="A1012" s="1" t="s">
        <v>45</v>
      </c>
      <c r="C1012" s="4"/>
      <c r="D1012" s="8"/>
      <c r="E1012" s="4"/>
      <c r="F1012" s="8"/>
      <c r="G1012" s="4"/>
      <c r="H1012" s="8"/>
      <c r="I1012" s="4"/>
    </row>
    <row r="1013" spans="1:9" x14ac:dyDescent="0.15">
      <c r="A1013" s="2">
        <v>1</v>
      </c>
      <c r="B1013" s="1" t="s">
        <v>89</v>
      </c>
      <c r="C1013" s="4">
        <v>46</v>
      </c>
      <c r="D1013" s="8">
        <v>11.56</v>
      </c>
      <c r="E1013" s="4">
        <v>45</v>
      </c>
      <c r="F1013" s="8">
        <v>15</v>
      </c>
      <c r="G1013" s="4">
        <v>0</v>
      </c>
      <c r="H1013" s="8">
        <v>0</v>
      </c>
      <c r="I1013" s="4">
        <v>1</v>
      </c>
    </row>
    <row r="1014" spans="1:9" x14ac:dyDescent="0.15">
      <c r="A1014" s="2">
        <v>2</v>
      </c>
      <c r="B1014" s="1" t="s">
        <v>74</v>
      </c>
      <c r="C1014" s="4">
        <v>38</v>
      </c>
      <c r="D1014" s="8">
        <v>9.5500000000000007</v>
      </c>
      <c r="E1014" s="4">
        <v>19</v>
      </c>
      <c r="F1014" s="8">
        <v>6.33</v>
      </c>
      <c r="G1014" s="4">
        <v>19</v>
      </c>
      <c r="H1014" s="8">
        <v>20</v>
      </c>
      <c r="I1014" s="4">
        <v>0</v>
      </c>
    </row>
    <row r="1015" spans="1:9" x14ac:dyDescent="0.15">
      <c r="A1015" s="2">
        <v>2</v>
      </c>
      <c r="B1015" s="1" t="s">
        <v>75</v>
      </c>
      <c r="C1015" s="4">
        <v>38</v>
      </c>
      <c r="D1015" s="8">
        <v>9.5500000000000007</v>
      </c>
      <c r="E1015" s="4">
        <v>34</v>
      </c>
      <c r="F1015" s="8">
        <v>11.33</v>
      </c>
      <c r="G1015" s="4">
        <v>4</v>
      </c>
      <c r="H1015" s="8">
        <v>4.21</v>
      </c>
      <c r="I1015" s="4">
        <v>0</v>
      </c>
    </row>
    <row r="1016" spans="1:9" x14ac:dyDescent="0.15">
      <c r="A1016" s="2">
        <v>4</v>
      </c>
      <c r="B1016" s="1" t="s">
        <v>90</v>
      </c>
      <c r="C1016" s="4">
        <v>33</v>
      </c>
      <c r="D1016" s="8">
        <v>8.2899999999999991</v>
      </c>
      <c r="E1016" s="4">
        <v>31</v>
      </c>
      <c r="F1016" s="8">
        <v>10.33</v>
      </c>
      <c r="G1016" s="4">
        <v>2</v>
      </c>
      <c r="H1016" s="8">
        <v>2.11</v>
      </c>
      <c r="I1016" s="4">
        <v>0</v>
      </c>
    </row>
    <row r="1017" spans="1:9" x14ac:dyDescent="0.15">
      <c r="A1017" s="2">
        <v>5</v>
      </c>
      <c r="B1017" s="1" t="s">
        <v>82</v>
      </c>
      <c r="C1017" s="4">
        <v>28</v>
      </c>
      <c r="D1017" s="8">
        <v>7.04</v>
      </c>
      <c r="E1017" s="4">
        <v>20</v>
      </c>
      <c r="F1017" s="8">
        <v>6.67</v>
      </c>
      <c r="G1017" s="4">
        <v>7</v>
      </c>
      <c r="H1017" s="8">
        <v>7.37</v>
      </c>
      <c r="I1017" s="4">
        <v>1</v>
      </c>
    </row>
    <row r="1018" spans="1:9" x14ac:dyDescent="0.15">
      <c r="A1018" s="2">
        <v>6</v>
      </c>
      <c r="B1018" s="1" t="s">
        <v>84</v>
      </c>
      <c r="C1018" s="4">
        <v>27</v>
      </c>
      <c r="D1018" s="8">
        <v>6.78</v>
      </c>
      <c r="E1018" s="4">
        <v>20</v>
      </c>
      <c r="F1018" s="8">
        <v>6.67</v>
      </c>
      <c r="G1018" s="4">
        <v>7</v>
      </c>
      <c r="H1018" s="8">
        <v>7.37</v>
      </c>
      <c r="I1018" s="4">
        <v>0</v>
      </c>
    </row>
    <row r="1019" spans="1:9" x14ac:dyDescent="0.15">
      <c r="A1019" s="2">
        <v>7</v>
      </c>
      <c r="B1019" s="1" t="s">
        <v>92</v>
      </c>
      <c r="C1019" s="4">
        <v>21</v>
      </c>
      <c r="D1019" s="8">
        <v>5.28</v>
      </c>
      <c r="E1019" s="4">
        <v>20</v>
      </c>
      <c r="F1019" s="8">
        <v>6.67</v>
      </c>
      <c r="G1019" s="4">
        <v>1</v>
      </c>
      <c r="H1019" s="8">
        <v>1.05</v>
      </c>
      <c r="I1019" s="4">
        <v>0</v>
      </c>
    </row>
    <row r="1020" spans="1:9" x14ac:dyDescent="0.15">
      <c r="A1020" s="2">
        <v>8</v>
      </c>
      <c r="B1020" s="1" t="s">
        <v>76</v>
      </c>
      <c r="C1020" s="4">
        <v>16</v>
      </c>
      <c r="D1020" s="8">
        <v>4.0199999999999996</v>
      </c>
      <c r="E1020" s="4">
        <v>14</v>
      </c>
      <c r="F1020" s="8">
        <v>4.67</v>
      </c>
      <c r="G1020" s="4">
        <v>2</v>
      </c>
      <c r="H1020" s="8">
        <v>2.11</v>
      </c>
      <c r="I1020" s="4">
        <v>0</v>
      </c>
    </row>
    <row r="1021" spans="1:9" x14ac:dyDescent="0.15">
      <c r="A1021" s="2">
        <v>8</v>
      </c>
      <c r="B1021" s="1" t="s">
        <v>106</v>
      </c>
      <c r="C1021" s="4">
        <v>16</v>
      </c>
      <c r="D1021" s="8">
        <v>4.0199999999999996</v>
      </c>
      <c r="E1021" s="4">
        <v>15</v>
      </c>
      <c r="F1021" s="8">
        <v>5</v>
      </c>
      <c r="G1021" s="4">
        <v>1</v>
      </c>
      <c r="H1021" s="8">
        <v>1.05</v>
      </c>
      <c r="I1021" s="4">
        <v>0</v>
      </c>
    </row>
    <row r="1022" spans="1:9" x14ac:dyDescent="0.15">
      <c r="A1022" s="2">
        <v>10</v>
      </c>
      <c r="B1022" s="1" t="s">
        <v>83</v>
      </c>
      <c r="C1022" s="4">
        <v>15</v>
      </c>
      <c r="D1022" s="8">
        <v>3.77</v>
      </c>
      <c r="E1022" s="4">
        <v>11</v>
      </c>
      <c r="F1022" s="8">
        <v>3.67</v>
      </c>
      <c r="G1022" s="4">
        <v>4</v>
      </c>
      <c r="H1022" s="8">
        <v>4.21</v>
      </c>
      <c r="I1022" s="4">
        <v>0</v>
      </c>
    </row>
    <row r="1023" spans="1:9" x14ac:dyDescent="0.15">
      <c r="A1023" s="2">
        <v>11</v>
      </c>
      <c r="B1023" s="1" t="s">
        <v>81</v>
      </c>
      <c r="C1023" s="4">
        <v>13</v>
      </c>
      <c r="D1023" s="8">
        <v>3.27</v>
      </c>
      <c r="E1023" s="4">
        <v>13</v>
      </c>
      <c r="F1023" s="8">
        <v>4.33</v>
      </c>
      <c r="G1023" s="4">
        <v>0</v>
      </c>
      <c r="H1023" s="8">
        <v>0</v>
      </c>
      <c r="I1023" s="4">
        <v>0</v>
      </c>
    </row>
    <row r="1024" spans="1:9" x14ac:dyDescent="0.15">
      <c r="A1024" s="2">
        <v>12</v>
      </c>
      <c r="B1024" s="1" t="s">
        <v>113</v>
      </c>
      <c r="C1024" s="4">
        <v>10</v>
      </c>
      <c r="D1024" s="8">
        <v>2.5099999999999998</v>
      </c>
      <c r="E1024" s="4">
        <v>6</v>
      </c>
      <c r="F1024" s="8">
        <v>2</v>
      </c>
      <c r="G1024" s="4">
        <v>4</v>
      </c>
      <c r="H1024" s="8">
        <v>4.21</v>
      </c>
      <c r="I1024" s="4">
        <v>0</v>
      </c>
    </row>
    <row r="1025" spans="1:9" x14ac:dyDescent="0.15">
      <c r="A1025" s="2">
        <v>13</v>
      </c>
      <c r="B1025" s="1" t="s">
        <v>86</v>
      </c>
      <c r="C1025" s="4">
        <v>9</v>
      </c>
      <c r="D1025" s="8">
        <v>2.2599999999999998</v>
      </c>
      <c r="E1025" s="4">
        <v>7</v>
      </c>
      <c r="F1025" s="8">
        <v>2.33</v>
      </c>
      <c r="G1025" s="4">
        <v>2</v>
      </c>
      <c r="H1025" s="8">
        <v>2.11</v>
      </c>
      <c r="I1025" s="4">
        <v>0</v>
      </c>
    </row>
    <row r="1026" spans="1:9" x14ac:dyDescent="0.15">
      <c r="A1026" s="2">
        <v>13</v>
      </c>
      <c r="B1026" s="1" t="s">
        <v>88</v>
      </c>
      <c r="C1026" s="4">
        <v>9</v>
      </c>
      <c r="D1026" s="8">
        <v>2.2599999999999998</v>
      </c>
      <c r="E1026" s="4">
        <v>6</v>
      </c>
      <c r="F1026" s="8">
        <v>2</v>
      </c>
      <c r="G1026" s="4">
        <v>3</v>
      </c>
      <c r="H1026" s="8">
        <v>3.16</v>
      </c>
      <c r="I1026" s="4">
        <v>0</v>
      </c>
    </row>
    <row r="1027" spans="1:9" x14ac:dyDescent="0.15">
      <c r="A1027" s="2">
        <v>15</v>
      </c>
      <c r="B1027" s="1" t="s">
        <v>93</v>
      </c>
      <c r="C1027" s="4">
        <v>8</v>
      </c>
      <c r="D1027" s="8">
        <v>2.0099999999999998</v>
      </c>
      <c r="E1027" s="4">
        <v>7</v>
      </c>
      <c r="F1027" s="8">
        <v>2.33</v>
      </c>
      <c r="G1027" s="4">
        <v>1</v>
      </c>
      <c r="H1027" s="8">
        <v>1.05</v>
      </c>
      <c r="I1027" s="4">
        <v>0</v>
      </c>
    </row>
    <row r="1028" spans="1:9" x14ac:dyDescent="0.15">
      <c r="A1028" s="2">
        <v>16</v>
      </c>
      <c r="B1028" s="1" t="s">
        <v>95</v>
      </c>
      <c r="C1028" s="4">
        <v>5</v>
      </c>
      <c r="D1028" s="8">
        <v>1.26</v>
      </c>
      <c r="E1028" s="4">
        <v>2</v>
      </c>
      <c r="F1028" s="8">
        <v>0.67</v>
      </c>
      <c r="G1028" s="4">
        <v>3</v>
      </c>
      <c r="H1028" s="8">
        <v>3.16</v>
      </c>
      <c r="I1028" s="4">
        <v>0</v>
      </c>
    </row>
    <row r="1029" spans="1:9" x14ac:dyDescent="0.15">
      <c r="A1029" s="2">
        <v>16</v>
      </c>
      <c r="B1029" s="1" t="s">
        <v>97</v>
      </c>
      <c r="C1029" s="4">
        <v>5</v>
      </c>
      <c r="D1029" s="8">
        <v>1.26</v>
      </c>
      <c r="E1029" s="4">
        <v>2</v>
      </c>
      <c r="F1029" s="8">
        <v>0.67</v>
      </c>
      <c r="G1029" s="4">
        <v>3</v>
      </c>
      <c r="H1029" s="8">
        <v>3.16</v>
      </c>
      <c r="I1029" s="4">
        <v>0</v>
      </c>
    </row>
    <row r="1030" spans="1:9" x14ac:dyDescent="0.15">
      <c r="A1030" s="2">
        <v>18</v>
      </c>
      <c r="B1030" s="1" t="s">
        <v>103</v>
      </c>
      <c r="C1030" s="4">
        <v>4</v>
      </c>
      <c r="D1030" s="8">
        <v>1.01</v>
      </c>
      <c r="E1030" s="4">
        <v>2</v>
      </c>
      <c r="F1030" s="8">
        <v>0.67</v>
      </c>
      <c r="G1030" s="4">
        <v>2</v>
      </c>
      <c r="H1030" s="8">
        <v>2.11</v>
      </c>
      <c r="I1030" s="4">
        <v>0</v>
      </c>
    </row>
    <row r="1031" spans="1:9" x14ac:dyDescent="0.15">
      <c r="A1031" s="2">
        <v>18</v>
      </c>
      <c r="B1031" s="1" t="s">
        <v>87</v>
      </c>
      <c r="C1031" s="4">
        <v>4</v>
      </c>
      <c r="D1031" s="8">
        <v>1.01</v>
      </c>
      <c r="E1031" s="4">
        <v>3</v>
      </c>
      <c r="F1031" s="8">
        <v>1</v>
      </c>
      <c r="G1031" s="4">
        <v>1</v>
      </c>
      <c r="H1031" s="8">
        <v>1.05</v>
      </c>
      <c r="I1031" s="4">
        <v>0</v>
      </c>
    </row>
    <row r="1032" spans="1:9" x14ac:dyDescent="0.15">
      <c r="A1032" s="2">
        <v>18</v>
      </c>
      <c r="B1032" s="1" t="s">
        <v>91</v>
      </c>
      <c r="C1032" s="4">
        <v>4</v>
      </c>
      <c r="D1032" s="8">
        <v>1.01</v>
      </c>
      <c r="E1032" s="4">
        <v>4</v>
      </c>
      <c r="F1032" s="8">
        <v>1.33</v>
      </c>
      <c r="G1032" s="4">
        <v>0</v>
      </c>
      <c r="H1032" s="8">
        <v>0</v>
      </c>
      <c r="I1032" s="4">
        <v>0</v>
      </c>
    </row>
    <row r="1033" spans="1:9" x14ac:dyDescent="0.15">
      <c r="A1033" s="2">
        <v>18</v>
      </c>
      <c r="B1033" s="1" t="s">
        <v>109</v>
      </c>
      <c r="C1033" s="4">
        <v>4</v>
      </c>
      <c r="D1033" s="8">
        <v>1.01</v>
      </c>
      <c r="E1033" s="4">
        <v>2</v>
      </c>
      <c r="F1033" s="8">
        <v>0.67</v>
      </c>
      <c r="G1033" s="4">
        <v>1</v>
      </c>
      <c r="H1033" s="8">
        <v>1.05</v>
      </c>
      <c r="I1033" s="4">
        <v>1</v>
      </c>
    </row>
    <row r="1034" spans="1:9" x14ac:dyDescent="0.15">
      <c r="A1034" s="1"/>
      <c r="C1034" s="4"/>
      <c r="D1034" s="8"/>
      <c r="E1034" s="4"/>
      <c r="F1034" s="8"/>
      <c r="G1034" s="4"/>
      <c r="H1034" s="8"/>
      <c r="I1034" s="4"/>
    </row>
    <row r="1035" spans="1:9" x14ac:dyDescent="0.15">
      <c r="A1035" s="1" t="s">
        <v>46</v>
      </c>
      <c r="C1035" s="4"/>
      <c r="D1035" s="8"/>
      <c r="E1035" s="4"/>
      <c r="F1035" s="8"/>
      <c r="G1035" s="4"/>
      <c r="H1035" s="8"/>
      <c r="I1035" s="4"/>
    </row>
    <row r="1036" spans="1:9" x14ac:dyDescent="0.15">
      <c r="A1036" s="2">
        <v>1</v>
      </c>
      <c r="B1036" s="1" t="s">
        <v>90</v>
      </c>
      <c r="C1036" s="4">
        <v>82</v>
      </c>
      <c r="D1036" s="8">
        <v>10.73</v>
      </c>
      <c r="E1036" s="4">
        <v>74</v>
      </c>
      <c r="F1036" s="8">
        <v>14.2</v>
      </c>
      <c r="G1036" s="4">
        <v>8</v>
      </c>
      <c r="H1036" s="8">
        <v>3.33</v>
      </c>
      <c r="I1036" s="4">
        <v>0</v>
      </c>
    </row>
    <row r="1037" spans="1:9" x14ac:dyDescent="0.15">
      <c r="A1037" s="2">
        <v>2</v>
      </c>
      <c r="B1037" s="1" t="s">
        <v>89</v>
      </c>
      <c r="C1037" s="4">
        <v>66</v>
      </c>
      <c r="D1037" s="8">
        <v>8.64</v>
      </c>
      <c r="E1037" s="4">
        <v>62</v>
      </c>
      <c r="F1037" s="8">
        <v>11.9</v>
      </c>
      <c r="G1037" s="4">
        <v>4</v>
      </c>
      <c r="H1037" s="8">
        <v>1.67</v>
      </c>
      <c r="I1037" s="4">
        <v>0</v>
      </c>
    </row>
    <row r="1038" spans="1:9" x14ac:dyDescent="0.15">
      <c r="A1038" s="2">
        <v>3</v>
      </c>
      <c r="B1038" s="1" t="s">
        <v>74</v>
      </c>
      <c r="C1038" s="4">
        <v>63</v>
      </c>
      <c r="D1038" s="8">
        <v>8.25</v>
      </c>
      <c r="E1038" s="4">
        <v>26</v>
      </c>
      <c r="F1038" s="8">
        <v>4.99</v>
      </c>
      <c r="G1038" s="4">
        <v>37</v>
      </c>
      <c r="H1038" s="8">
        <v>15.42</v>
      </c>
      <c r="I1038" s="4">
        <v>0</v>
      </c>
    </row>
    <row r="1039" spans="1:9" x14ac:dyDescent="0.15">
      <c r="A1039" s="2">
        <v>3</v>
      </c>
      <c r="B1039" s="1" t="s">
        <v>92</v>
      </c>
      <c r="C1039" s="4">
        <v>63</v>
      </c>
      <c r="D1039" s="8">
        <v>8.25</v>
      </c>
      <c r="E1039" s="4">
        <v>59</v>
      </c>
      <c r="F1039" s="8">
        <v>11.32</v>
      </c>
      <c r="G1039" s="4">
        <v>4</v>
      </c>
      <c r="H1039" s="8">
        <v>1.67</v>
      </c>
      <c r="I1039" s="4">
        <v>0</v>
      </c>
    </row>
    <row r="1040" spans="1:9" x14ac:dyDescent="0.15">
      <c r="A1040" s="2">
        <v>5</v>
      </c>
      <c r="B1040" s="1" t="s">
        <v>86</v>
      </c>
      <c r="C1040" s="4">
        <v>53</v>
      </c>
      <c r="D1040" s="8">
        <v>6.94</v>
      </c>
      <c r="E1040" s="4">
        <v>40</v>
      </c>
      <c r="F1040" s="8">
        <v>7.68</v>
      </c>
      <c r="G1040" s="4">
        <v>13</v>
      </c>
      <c r="H1040" s="8">
        <v>5.42</v>
      </c>
      <c r="I1040" s="4">
        <v>0</v>
      </c>
    </row>
    <row r="1041" spans="1:9" x14ac:dyDescent="0.15">
      <c r="A1041" s="2">
        <v>6</v>
      </c>
      <c r="B1041" s="1" t="s">
        <v>84</v>
      </c>
      <c r="C1041" s="4">
        <v>46</v>
      </c>
      <c r="D1041" s="8">
        <v>6.02</v>
      </c>
      <c r="E1041" s="4">
        <v>27</v>
      </c>
      <c r="F1041" s="8">
        <v>5.18</v>
      </c>
      <c r="G1041" s="4">
        <v>19</v>
      </c>
      <c r="H1041" s="8">
        <v>7.92</v>
      </c>
      <c r="I1041" s="4">
        <v>0</v>
      </c>
    </row>
    <row r="1042" spans="1:9" x14ac:dyDescent="0.15">
      <c r="A1042" s="2">
        <v>7</v>
      </c>
      <c r="B1042" s="1" t="s">
        <v>76</v>
      </c>
      <c r="C1042" s="4">
        <v>44</v>
      </c>
      <c r="D1042" s="8">
        <v>5.76</v>
      </c>
      <c r="E1042" s="4">
        <v>22</v>
      </c>
      <c r="F1042" s="8">
        <v>4.22</v>
      </c>
      <c r="G1042" s="4">
        <v>22</v>
      </c>
      <c r="H1042" s="8">
        <v>9.17</v>
      </c>
      <c r="I1042" s="4">
        <v>0</v>
      </c>
    </row>
    <row r="1043" spans="1:9" x14ac:dyDescent="0.15">
      <c r="A1043" s="2">
        <v>8</v>
      </c>
      <c r="B1043" s="1" t="s">
        <v>75</v>
      </c>
      <c r="C1043" s="4">
        <v>43</v>
      </c>
      <c r="D1043" s="8">
        <v>5.63</v>
      </c>
      <c r="E1043" s="4">
        <v>26</v>
      </c>
      <c r="F1043" s="8">
        <v>4.99</v>
      </c>
      <c r="G1043" s="4">
        <v>17</v>
      </c>
      <c r="H1043" s="8">
        <v>7.08</v>
      </c>
      <c r="I1043" s="4">
        <v>0</v>
      </c>
    </row>
    <row r="1044" spans="1:9" x14ac:dyDescent="0.15">
      <c r="A1044" s="2">
        <v>9</v>
      </c>
      <c r="B1044" s="1" t="s">
        <v>82</v>
      </c>
      <c r="C1044" s="4">
        <v>37</v>
      </c>
      <c r="D1044" s="8">
        <v>4.84</v>
      </c>
      <c r="E1044" s="4">
        <v>23</v>
      </c>
      <c r="F1044" s="8">
        <v>4.41</v>
      </c>
      <c r="G1044" s="4">
        <v>12</v>
      </c>
      <c r="H1044" s="8">
        <v>5</v>
      </c>
      <c r="I1044" s="4">
        <v>2</v>
      </c>
    </row>
    <row r="1045" spans="1:9" x14ac:dyDescent="0.15">
      <c r="A1045" s="2">
        <v>10</v>
      </c>
      <c r="B1045" s="1" t="s">
        <v>83</v>
      </c>
      <c r="C1045" s="4">
        <v>28</v>
      </c>
      <c r="D1045" s="8">
        <v>3.66</v>
      </c>
      <c r="E1045" s="4">
        <v>22</v>
      </c>
      <c r="F1045" s="8">
        <v>4.22</v>
      </c>
      <c r="G1045" s="4">
        <v>6</v>
      </c>
      <c r="H1045" s="8">
        <v>2.5</v>
      </c>
      <c r="I1045" s="4">
        <v>0</v>
      </c>
    </row>
    <row r="1046" spans="1:9" x14ac:dyDescent="0.15">
      <c r="A1046" s="2">
        <v>11</v>
      </c>
      <c r="B1046" s="1" t="s">
        <v>81</v>
      </c>
      <c r="C1046" s="4">
        <v>25</v>
      </c>
      <c r="D1046" s="8">
        <v>3.27</v>
      </c>
      <c r="E1046" s="4">
        <v>19</v>
      </c>
      <c r="F1046" s="8">
        <v>3.65</v>
      </c>
      <c r="G1046" s="4">
        <v>6</v>
      </c>
      <c r="H1046" s="8">
        <v>2.5</v>
      </c>
      <c r="I1046" s="4">
        <v>0</v>
      </c>
    </row>
    <row r="1047" spans="1:9" x14ac:dyDescent="0.15">
      <c r="A1047" s="2">
        <v>12</v>
      </c>
      <c r="B1047" s="1" t="s">
        <v>87</v>
      </c>
      <c r="C1047" s="4">
        <v>22</v>
      </c>
      <c r="D1047" s="8">
        <v>2.88</v>
      </c>
      <c r="E1047" s="4">
        <v>18</v>
      </c>
      <c r="F1047" s="8">
        <v>3.45</v>
      </c>
      <c r="G1047" s="4">
        <v>4</v>
      </c>
      <c r="H1047" s="8">
        <v>1.67</v>
      </c>
      <c r="I1047" s="4">
        <v>0</v>
      </c>
    </row>
    <row r="1048" spans="1:9" x14ac:dyDescent="0.15">
      <c r="A1048" s="2">
        <v>13</v>
      </c>
      <c r="B1048" s="1" t="s">
        <v>93</v>
      </c>
      <c r="C1048" s="4">
        <v>20</v>
      </c>
      <c r="D1048" s="8">
        <v>2.62</v>
      </c>
      <c r="E1048" s="4">
        <v>20</v>
      </c>
      <c r="F1048" s="8">
        <v>3.84</v>
      </c>
      <c r="G1048" s="4">
        <v>0</v>
      </c>
      <c r="H1048" s="8">
        <v>0</v>
      </c>
      <c r="I1048" s="4">
        <v>0</v>
      </c>
    </row>
    <row r="1049" spans="1:9" x14ac:dyDescent="0.15">
      <c r="A1049" s="2">
        <v>14</v>
      </c>
      <c r="B1049" s="1" t="s">
        <v>106</v>
      </c>
      <c r="C1049" s="4">
        <v>11</v>
      </c>
      <c r="D1049" s="8">
        <v>1.44</v>
      </c>
      <c r="E1049" s="4">
        <v>8</v>
      </c>
      <c r="F1049" s="8">
        <v>1.54</v>
      </c>
      <c r="G1049" s="4">
        <v>3</v>
      </c>
      <c r="H1049" s="8">
        <v>1.25</v>
      </c>
      <c r="I1049" s="4">
        <v>0</v>
      </c>
    </row>
    <row r="1050" spans="1:9" x14ac:dyDescent="0.15">
      <c r="A1050" s="2">
        <v>15</v>
      </c>
      <c r="B1050" s="1" t="s">
        <v>79</v>
      </c>
      <c r="C1050" s="4">
        <v>10</v>
      </c>
      <c r="D1050" s="8">
        <v>1.31</v>
      </c>
      <c r="E1050" s="4">
        <v>3</v>
      </c>
      <c r="F1050" s="8">
        <v>0.57999999999999996</v>
      </c>
      <c r="G1050" s="4">
        <v>7</v>
      </c>
      <c r="H1050" s="8">
        <v>2.92</v>
      </c>
      <c r="I1050" s="4">
        <v>0</v>
      </c>
    </row>
    <row r="1051" spans="1:9" x14ac:dyDescent="0.15">
      <c r="A1051" s="2">
        <v>15</v>
      </c>
      <c r="B1051" s="1" t="s">
        <v>105</v>
      </c>
      <c r="C1051" s="4">
        <v>10</v>
      </c>
      <c r="D1051" s="8">
        <v>1.31</v>
      </c>
      <c r="E1051" s="4">
        <v>8</v>
      </c>
      <c r="F1051" s="8">
        <v>1.54</v>
      </c>
      <c r="G1051" s="4">
        <v>2</v>
      </c>
      <c r="H1051" s="8">
        <v>0.83</v>
      </c>
      <c r="I1051" s="4">
        <v>0</v>
      </c>
    </row>
    <row r="1052" spans="1:9" x14ac:dyDescent="0.15">
      <c r="A1052" s="2">
        <v>17</v>
      </c>
      <c r="B1052" s="1" t="s">
        <v>100</v>
      </c>
      <c r="C1052" s="4">
        <v>9</v>
      </c>
      <c r="D1052" s="8">
        <v>1.18</v>
      </c>
      <c r="E1052" s="4">
        <v>6</v>
      </c>
      <c r="F1052" s="8">
        <v>1.1499999999999999</v>
      </c>
      <c r="G1052" s="4">
        <v>3</v>
      </c>
      <c r="H1052" s="8">
        <v>1.25</v>
      </c>
      <c r="I1052" s="4">
        <v>0</v>
      </c>
    </row>
    <row r="1053" spans="1:9" x14ac:dyDescent="0.15">
      <c r="A1053" s="2">
        <v>17</v>
      </c>
      <c r="B1053" s="1" t="s">
        <v>85</v>
      </c>
      <c r="C1053" s="4">
        <v>9</v>
      </c>
      <c r="D1053" s="8">
        <v>1.18</v>
      </c>
      <c r="E1053" s="4">
        <v>1</v>
      </c>
      <c r="F1053" s="8">
        <v>0.19</v>
      </c>
      <c r="G1053" s="4">
        <v>8</v>
      </c>
      <c r="H1053" s="8">
        <v>3.33</v>
      </c>
      <c r="I1053" s="4">
        <v>0</v>
      </c>
    </row>
    <row r="1054" spans="1:9" x14ac:dyDescent="0.15">
      <c r="A1054" s="2">
        <v>17</v>
      </c>
      <c r="B1054" s="1" t="s">
        <v>88</v>
      </c>
      <c r="C1054" s="4">
        <v>9</v>
      </c>
      <c r="D1054" s="8">
        <v>1.18</v>
      </c>
      <c r="E1054" s="4">
        <v>7</v>
      </c>
      <c r="F1054" s="8">
        <v>1.34</v>
      </c>
      <c r="G1054" s="4">
        <v>2</v>
      </c>
      <c r="H1054" s="8">
        <v>0.83</v>
      </c>
      <c r="I1054" s="4">
        <v>0</v>
      </c>
    </row>
    <row r="1055" spans="1:9" x14ac:dyDescent="0.15">
      <c r="A1055" s="2">
        <v>20</v>
      </c>
      <c r="B1055" s="1" t="s">
        <v>107</v>
      </c>
      <c r="C1055" s="4">
        <v>8</v>
      </c>
      <c r="D1055" s="8">
        <v>1.05</v>
      </c>
      <c r="E1055" s="4">
        <v>4</v>
      </c>
      <c r="F1055" s="8">
        <v>0.77</v>
      </c>
      <c r="G1055" s="4">
        <v>3</v>
      </c>
      <c r="H1055" s="8">
        <v>1.25</v>
      </c>
      <c r="I1055" s="4">
        <v>1</v>
      </c>
    </row>
    <row r="1056" spans="1:9" x14ac:dyDescent="0.15">
      <c r="A1056" s="2">
        <v>20</v>
      </c>
      <c r="B1056" s="1" t="s">
        <v>77</v>
      </c>
      <c r="C1056" s="4">
        <v>8</v>
      </c>
      <c r="D1056" s="8">
        <v>1.05</v>
      </c>
      <c r="E1056" s="4">
        <v>5</v>
      </c>
      <c r="F1056" s="8">
        <v>0.96</v>
      </c>
      <c r="G1056" s="4">
        <v>3</v>
      </c>
      <c r="H1056" s="8">
        <v>1.25</v>
      </c>
      <c r="I1056" s="4">
        <v>0</v>
      </c>
    </row>
    <row r="1057" spans="1:9" x14ac:dyDescent="0.15">
      <c r="A1057" s="2">
        <v>20</v>
      </c>
      <c r="B1057" s="1" t="s">
        <v>103</v>
      </c>
      <c r="C1057" s="4">
        <v>8</v>
      </c>
      <c r="D1057" s="8">
        <v>1.05</v>
      </c>
      <c r="E1057" s="4">
        <v>5</v>
      </c>
      <c r="F1057" s="8">
        <v>0.96</v>
      </c>
      <c r="G1057" s="4">
        <v>3</v>
      </c>
      <c r="H1057" s="8">
        <v>1.25</v>
      </c>
      <c r="I1057" s="4">
        <v>0</v>
      </c>
    </row>
    <row r="1058" spans="1:9" x14ac:dyDescent="0.15">
      <c r="A1058" s="1"/>
      <c r="C1058" s="4"/>
      <c r="D1058" s="8"/>
      <c r="E1058" s="4"/>
      <c r="F1058" s="8"/>
      <c r="G1058" s="4"/>
      <c r="H1058" s="8"/>
      <c r="I1058" s="4"/>
    </row>
    <row r="1059" spans="1:9" x14ac:dyDescent="0.15">
      <c r="A1059" s="1" t="s">
        <v>47</v>
      </c>
      <c r="C1059" s="4"/>
      <c r="D1059" s="8"/>
      <c r="E1059" s="4"/>
      <c r="F1059" s="8"/>
      <c r="G1059" s="4"/>
      <c r="H1059" s="8"/>
      <c r="I1059" s="4"/>
    </row>
    <row r="1060" spans="1:9" x14ac:dyDescent="0.15">
      <c r="A1060" s="2">
        <v>1</v>
      </c>
      <c r="B1060" s="1" t="s">
        <v>74</v>
      </c>
      <c r="C1060" s="4">
        <v>47</v>
      </c>
      <c r="D1060" s="8">
        <v>11.19</v>
      </c>
      <c r="E1060" s="4">
        <v>16</v>
      </c>
      <c r="F1060" s="8">
        <v>5.61</v>
      </c>
      <c r="G1060" s="4">
        <v>31</v>
      </c>
      <c r="H1060" s="8">
        <v>23.13</v>
      </c>
      <c r="I1060" s="4">
        <v>0</v>
      </c>
    </row>
    <row r="1061" spans="1:9" x14ac:dyDescent="0.15">
      <c r="A1061" s="2">
        <v>2</v>
      </c>
      <c r="B1061" s="1" t="s">
        <v>90</v>
      </c>
      <c r="C1061" s="4">
        <v>40</v>
      </c>
      <c r="D1061" s="8">
        <v>9.52</v>
      </c>
      <c r="E1061" s="4">
        <v>32</v>
      </c>
      <c r="F1061" s="8">
        <v>11.23</v>
      </c>
      <c r="G1061" s="4">
        <v>8</v>
      </c>
      <c r="H1061" s="8">
        <v>5.97</v>
      </c>
      <c r="I1061" s="4">
        <v>0</v>
      </c>
    </row>
    <row r="1062" spans="1:9" x14ac:dyDescent="0.15">
      <c r="A1062" s="2">
        <v>3</v>
      </c>
      <c r="B1062" s="1" t="s">
        <v>84</v>
      </c>
      <c r="C1062" s="4">
        <v>36</v>
      </c>
      <c r="D1062" s="8">
        <v>8.57</v>
      </c>
      <c r="E1062" s="4">
        <v>25</v>
      </c>
      <c r="F1062" s="8">
        <v>8.77</v>
      </c>
      <c r="G1062" s="4">
        <v>10</v>
      </c>
      <c r="H1062" s="8">
        <v>7.46</v>
      </c>
      <c r="I1062" s="4">
        <v>1</v>
      </c>
    </row>
    <row r="1063" spans="1:9" x14ac:dyDescent="0.15">
      <c r="A1063" s="2">
        <v>4</v>
      </c>
      <c r="B1063" s="1" t="s">
        <v>89</v>
      </c>
      <c r="C1063" s="4">
        <v>32</v>
      </c>
      <c r="D1063" s="8">
        <v>7.62</v>
      </c>
      <c r="E1063" s="4">
        <v>32</v>
      </c>
      <c r="F1063" s="8">
        <v>11.23</v>
      </c>
      <c r="G1063" s="4">
        <v>0</v>
      </c>
      <c r="H1063" s="8">
        <v>0</v>
      </c>
      <c r="I1063" s="4">
        <v>0</v>
      </c>
    </row>
    <row r="1064" spans="1:9" x14ac:dyDescent="0.15">
      <c r="A1064" s="2">
        <v>5</v>
      </c>
      <c r="B1064" s="1" t="s">
        <v>86</v>
      </c>
      <c r="C1064" s="4">
        <v>29</v>
      </c>
      <c r="D1064" s="8">
        <v>6.9</v>
      </c>
      <c r="E1064" s="4">
        <v>28</v>
      </c>
      <c r="F1064" s="8">
        <v>9.82</v>
      </c>
      <c r="G1064" s="4">
        <v>1</v>
      </c>
      <c r="H1064" s="8">
        <v>0.75</v>
      </c>
      <c r="I1064" s="4">
        <v>0</v>
      </c>
    </row>
    <row r="1065" spans="1:9" x14ac:dyDescent="0.15">
      <c r="A1065" s="2">
        <v>6</v>
      </c>
      <c r="B1065" s="1" t="s">
        <v>82</v>
      </c>
      <c r="C1065" s="4">
        <v>24</v>
      </c>
      <c r="D1065" s="8">
        <v>5.71</v>
      </c>
      <c r="E1065" s="4">
        <v>20</v>
      </c>
      <c r="F1065" s="8">
        <v>7.02</v>
      </c>
      <c r="G1065" s="4">
        <v>4</v>
      </c>
      <c r="H1065" s="8">
        <v>2.99</v>
      </c>
      <c r="I1065" s="4">
        <v>0</v>
      </c>
    </row>
    <row r="1066" spans="1:9" x14ac:dyDescent="0.15">
      <c r="A1066" s="2">
        <v>7</v>
      </c>
      <c r="B1066" s="1" t="s">
        <v>76</v>
      </c>
      <c r="C1066" s="4">
        <v>22</v>
      </c>
      <c r="D1066" s="8">
        <v>5.24</v>
      </c>
      <c r="E1066" s="4">
        <v>14</v>
      </c>
      <c r="F1066" s="8">
        <v>4.91</v>
      </c>
      <c r="G1066" s="4">
        <v>8</v>
      </c>
      <c r="H1066" s="8">
        <v>5.97</v>
      </c>
      <c r="I1066" s="4">
        <v>0</v>
      </c>
    </row>
    <row r="1067" spans="1:9" x14ac:dyDescent="0.15">
      <c r="A1067" s="2">
        <v>7</v>
      </c>
      <c r="B1067" s="1" t="s">
        <v>92</v>
      </c>
      <c r="C1067" s="4">
        <v>22</v>
      </c>
      <c r="D1067" s="8">
        <v>5.24</v>
      </c>
      <c r="E1067" s="4">
        <v>21</v>
      </c>
      <c r="F1067" s="8">
        <v>7.37</v>
      </c>
      <c r="G1067" s="4">
        <v>1</v>
      </c>
      <c r="H1067" s="8">
        <v>0.75</v>
      </c>
      <c r="I1067" s="4">
        <v>0</v>
      </c>
    </row>
    <row r="1068" spans="1:9" x14ac:dyDescent="0.15">
      <c r="A1068" s="2">
        <v>9</v>
      </c>
      <c r="B1068" s="1" t="s">
        <v>75</v>
      </c>
      <c r="C1068" s="4">
        <v>21</v>
      </c>
      <c r="D1068" s="8">
        <v>5</v>
      </c>
      <c r="E1068" s="4">
        <v>11</v>
      </c>
      <c r="F1068" s="8">
        <v>3.86</v>
      </c>
      <c r="G1068" s="4">
        <v>10</v>
      </c>
      <c r="H1068" s="8">
        <v>7.46</v>
      </c>
      <c r="I1068" s="4">
        <v>0</v>
      </c>
    </row>
    <row r="1069" spans="1:9" x14ac:dyDescent="0.15">
      <c r="A1069" s="2">
        <v>10</v>
      </c>
      <c r="B1069" s="1" t="s">
        <v>93</v>
      </c>
      <c r="C1069" s="4">
        <v>15</v>
      </c>
      <c r="D1069" s="8">
        <v>3.57</v>
      </c>
      <c r="E1069" s="4">
        <v>15</v>
      </c>
      <c r="F1069" s="8">
        <v>5.26</v>
      </c>
      <c r="G1069" s="4">
        <v>0</v>
      </c>
      <c r="H1069" s="8">
        <v>0</v>
      </c>
      <c r="I1069" s="4">
        <v>0</v>
      </c>
    </row>
    <row r="1070" spans="1:9" x14ac:dyDescent="0.15">
      <c r="A1070" s="2">
        <v>11</v>
      </c>
      <c r="B1070" s="1" t="s">
        <v>83</v>
      </c>
      <c r="C1070" s="4">
        <v>13</v>
      </c>
      <c r="D1070" s="8">
        <v>3.1</v>
      </c>
      <c r="E1070" s="4">
        <v>7</v>
      </c>
      <c r="F1070" s="8">
        <v>2.46</v>
      </c>
      <c r="G1070" s="4">
        <v>6</v>
      </c>
      <c r="H1070" s="8">
        <v>4.4800000000000004</v>
      </c>
      <c r="I1070" s="4">
        <v>0</v>
      </c>
    </row>
    <row r="1071" spans="1:9" x14ac:dyDescent="0.15">
      <c r="A1071" s="2">
        <v>11</v>
      </c>
      <c r="B1071" s="1" t="s">
        <v>88</v>
      </c>
      <c r="C1071" s="4">
        <v>13</v>
      </c>
      <c r="D1071" s="8">
        <v>3.1</v>
      </c>
      <c r="E1071" s="4">
        <v>5</v>
      </c>
      <c r="F1071" s="8">
        <v>1.75</v>
      </c>
      <c r="G1071" s="4">
        <v>8</v>
      </c>
      <c r="H1071" s="8">
        <v>5.97</v>
      </c>
      <c r="I1071" s="4">
        <v>0</v>
      </c>
    </row>
    <row r="1072" spans="1:9" x14ac:dyDescent="0.15">
      <c r="A1072" s="2">
        <v>13</v>
      </c>
      <c r="B1072" s="1" t="s">
        <v>81</v>
      </c>
      <c r="C1072" s="4">
        <v>12</v>
      </c>
      <c r="D1072" s="8">
        <v>2.86</v>
      </c>
      <c r="E1072" s="4">
        <v>9</v>
      </c>
      <c r="F1072" s="8">
        <v>3.16</v>
      </c>
      <c r="G1072" s="4">
        <v>3</v>
      </c>
      <c r="H1072" s="8">
        <v>2.2400000000000002</v>
      </c>
      <c r="I1072" s="4">
        <v>0</v>
      </c>
    </row>
    <row r="1073" spans="1:9" x14ac:dyDescent="0.15">
      <c r="A1073" s="2">
        <v>14</v>
      </c>
      <c r="B1073" s="1" t="s">
        <v>91</v>
      </c>
      <c r="C1073" s="4">
        <v>11</v>
      </c>
      <c r="D1073" s="8">
        <v>2.62</v>
      </c>
      <c r="E1073" s="4">
        <v>10</v>
      </c>
      <c r="F1073" s="8">
        <v>3.51</v>
      </c>
      <c r="G1073" s="4">
        <v>1</v>
      </c>
      <c r="H1073" s="8">
        <v>0.75</v>
      </c>
      <c r="I1073" s="4">
        <v>0</v>
      </c>
    </row>
    <row r="1074" spans="1:9" x14ac:dyDescent="0.15">
      <c r="A1074" s="2">
        <v>15</v>
      </c>
      <c r="B1074" s="1" t="s">
        <v>78</v>
      </c>
      <c r="C1074" s="4">
        <v>6</v>
      </c>
      <c r="D1074" s="8">
        <v>1.43</v>
      </c>
      <c r="E1074" s="4">
        <v>1</v>
      </c>
      <c r="F1074" s="8">
        <v>0.35</v>
      </c>
      <c r="G1074" s="4">
        <v>5</v>
      </c>
      <c r="H1074" s="8">
        <v>3.73</v>
      </c>
      <c r="I1074" s="4">
        <v>0</v>
      </c>
    </row>
    <row r="1075" spans="1:9" x14ac:dyDescent="0.15">
      <c r="A1075" s="2">
        <v>16</v>
      </c>
      <c r="B1075" s="1" t="s">
        <v>96</v>
      </c>
      <c r="C1075" s="4">
        <v>5</v>
      </c>
      <c r="D1075" s="8">
        <v>1.19</v>
      </c>
      <c r="E1075" s="4">
        <v>2</v>
      </c>
      <c r="F1075" s="8">
        <v>0.7</v>
      </c>
      <c r="G1075" s="4">
        <v>3</v>
      </c>
      <c r="H1075" s="8">
        <v>2.2400000000000002</v>
      </c>
      <c r="I1075" s="4">
        <v>0</v>
      </c>
    </row>
    <row r="1076" spans="1:9" x14ac:dyDescent="0.15">
      <c r="A1076" s="2">
        <v>16</v>
      </c>
      <c r="B1076" s="1" t="s">
        <v>85</v>
      </c>
      <c r="C1076" s="4">
        <v>5</v>
      </c>
      <c r="D1076" s="8">
        <v>1.19</v>
      </c>
      <c r="E1076" s="4">
        <v>3</v>
      </c>
      <c r="F1076" s="8">
        <v>1.05</v>
      </c>
      <c r="G1076" s="4">
        <v>2</v>
      </c>
      <c r="H1076" s="8">
        <v>1.49</v>
      </c>
      <c r="I1076" s="4">
        <v>0</v>
      </c>
    </row>
    <row r="1077" spans="1:9" x14ac:dyDescent="0.15">
      <c r="A1077" s="2">
        <v>16</v>
      </c>
      <c r="B1077" s="1" t="s">
        <v>106</v>
      </c>
      <c r="C1077" s="4">
        <v>5</v>
      </c>
      <c r="D1077" s="8">
        <v>1.19</v>
      </c>
      <c r="E1077" s="4">
        <v>3</v>
      </c>
      <c r="F1077" s="8">
        <v>1.05</v>
      </c>
      <c r="G1077" s="4">
        <v>2</v>
      </c>
      <c r="H1077" s="8">
        <v>1.49</v>
      </c>
      <c r="I1077" s="4">
        <v>0</v>
      </c>
    </row>
    <row r="1078" spans="1:9" x14ac:dyDescent="0.15">
      <c r="A1078" s="2">
        <v>19</v>
      </c>
      <c r="B1078" s="1" t="s">
        <v>77</v>
      </c>
      <c r="C1078" s="4">
        <v>4</v>
      </c>
      <c r="D1078" s="8">
        <v>0.95</v>
      </c>
      <c r="E1078" s="4">
        <v>2</v>
      </c>
      <c r="F1078" s="8">
        <v>0.7</v>
      </c>
      <c r="G1078" s="4">
        <v>2</v>
      </c>
      <c r="H1078" s="8">
        <v>1.49</v>
      </c>
      <c r="I1078" s="4">
        <v>0</v>
      </c>
    </row>
    <row r="1079" spans="1:9" x14ac:dyDescent="0.15">
      <c r="A1079" s="2">
        <v>19</v>
      </c>
      <c r="B1079" s="1" t="s">
        <v>103</v>
      </c>
      <c r="C1079" s="4">
        <v>4</v>
      </c>
      <c r="D1079" s="8">
        <v>0.95</v>
      </c>
      <c r="E1079" s="4">
        <v>3</v>
      </c>
      <c r="F1079" s="8">
        <v>1.05</v>
      </c>
      <c r="G1079" s="4">
        <v>1</v>
      </c>
      <c r="H1079" s="8">
        <v>0.75</v>
      </c>
      <c r="I1079" s="4">
        <v>0</v>
      </c>
    </row>
    <row r="1080" spans="1:9" x14ac:dyDescent="0.15">
      <c r="A1080" s="2">
        <v>19</v>
      </c>
      <c r="B1080" s="1" t="s">
        <v>105</v>
      </c>
      <c r="C1080" s="4">
        <v>4</v>
      </c>
      <c r="D1080" s="8">
        <v>0.95</v>
      </c>
      <c r="E1080" s="4">
        <v>2</v>
      </c>
      <c r="F1080" s="8">
        <v>0.7</v>
      </c>
      <c r="G1080" s="4">
        <v>2</v>
      </c>
      <c r="H1080" s="8">
        <v>1.49</v>
      </c>
      <c r="I1080" s="4">
        <v>0</v>
      </c>
    </row>
    <row r="1081" spans="1:9" x14ac:dyDescent="0.15">
      <c r="A1081" s="2">
        <v>19</v>
      </c>
      <c r="B1081" s="1" t="s">
        <v>94</v>
      </c>
      <c r="C1081" s="4">
        <v>4</v>
      </c>
      <c r="D1081" s="8">
        <v>0.95</v>
      </c>
      <c r="E1081" s="4">
        <v>0</v>
      </c>
      <c r="F1081" s="8">
        <v>0</v>
      </c>
      <c r="G1081" s="4">
        <v>4</v>
      </c>
      <c r="H1081" s="8">
        <v>2.99</v>
      </c>
      <c r="I1081" s="4">
        <v>0</v>
      </c>
    </row>
    <row r="1082" spans="1:9" x14ac:dyDescent="0.15">
      <c r="A1082" s="1"/>
      <c r="C1082" s="4"/>
      <c r="D1082" s="8"/>
      <c r="E1082" s="4"/>
      <c r="F1082" s="8"/>
      <c r="G1082" s="4"/>
      <c r="H1082" s="8"/>
      <c r="I1082" s="4"/>
    </row>
    <row r="1083" spans="1:9" x14ac:dyDescent="0.15">
      <c r="A1083" s="1" t="s">
        <v>48</v>
      </c>
      <c r="C1083" s="4"/>
      <c r="D1083" s="8"/>
      <c r="E1083" s="4"/>
      <c r="F1083" s="8"/>
      <c r="G1083" s="4"/>
      <c r="H1083" s="8"/>
      <c r="I1083" s="4"/>
    </row>
    <row r="1084" spans="1:9" x14ac:dyDescent="0.15">
      <c r="A1084" s="2">
        <v>1</v>
      </c>
      <c r="B1084" s="1" t="s">
        <v>74</v>
      </c>
      <c r="C1084" s="4">
        <v>74</v>
      </c>
      <c r="D1084" s="8">
        <v>12.5</v>
      </c>
      <c r="E1084" s="4">
        <v>37</v>
      </c>
      <c r="F1084" s="8">
        <v>8.39</v>
      </c>
      <c r="G1084" s="4">
        <v>37</v>
      </c>
      <c r="H1084" s="8">
        <v>24.67</v>
      </c>
      <c r="I1084" s="4">
        <v>0</v>
      </c>
    </row>
    <row r="1085" spans="1:9" x14ac:dyDescent="0.15">
      <c r="A1085" s="2">
        <v>2</v>
      </c>
      <c r="B1085" s="1" t="s">
        <v>90</v>
      </c>
      <c r="C1085" s="4">
        <v>62</v>
      </c>
      <c r="D1085" s="8">
        <v>10.47</v>
      </c>
      <c r="E1085" s="4">
        <v>62</v>
      </c>
      <c r="F1085" s="8">
        <v>14.06</v>
      </c>
      <c r="G1085" s="4">
        <v>0</v>
      </c>
      <c r="H1085" s="8">
        <v>0</v>
      </c>
      <c r="I1085" s="4">
        <v>0</v>
      </c>
    </row>
    <row r="1086" spans="1:9" x14ac:dyDescent="0.15">
      <c r="A1086" s="2">
        <v>3</v>
      </c>
      <c r="B1086" s="1" t="s">
        <v>89</v>
      </c>
      <c r="C1086" s="4">
        <v>46</v>
      </c>
      <c r="D1086" s="8">
        <v>7.77</v>
      </c>
      <c r="E1086" s="4">
        <v>46</v>
      </c>
      <c r="F1086" s="8">
        <v>10.43</v>
      </c>
      <c r="G1086" s="4">
        <v>0</v>
      </c>
      <c r="H1086" s="8">
        <v>0</v>
      </c>
      <c r="I1086" s="4">
        <v>0</v>
      </c>
    </row>
    <row r="1087" spans="1:9" x14ac:dyDescent="0.15">
      <c r="A1087" s="2">
        <v>4</v>
      </c>
      <c r="B1087" s="1" t="s">
        <v>84</v>
      </c>
      <c r="C1087" s="4">
        <v>45</v>
      </c>
      <c r="D1087" s="8">
        <v>7.6</v>
      </c>
      <c r="E1087" s="4">
        <v>28</v>
      </c>
      <c r="F1087" s="8">
        <v>6.35</v>
      </c>
      <c r="G1087" s="4">
        <v>17</v>
      </c>
      <c r="H1087" s="8">
        <v>11.33</v>
      </c>
      <c r="I1087" s="4">
        <v>0</v>
      </c>
    </row>
    <row r="1088" spans="1:9" x14ac:dyDescent="0.15">
      <c r="A1088" s="2">
        <v>5</v>
      </c>
      <c r="B1088" s="1" t="s">
        <v>75</v>
      </c>
      <c r="C1088" s="4">
        <v>43</v>
      </c>
      <c r="D1088" s="8">
        <v>7.26</v>
      </c>
      <c r="E1088" s="4">
        <v>38</v>
      </c>
      <c r="F1088" s="8">
        <v>8.6199999999999992</v>
      </c>
      <c r="G1088" s="4">
        <v>5</v>
      </c>
      <c r="H1088" s="8">
        <v>3.33</v>
      </c>
      <c r="I1088" s="4">
        <v>0</v>
      </c>
    </row>
    <row r="1089" spans="1:9" x14ac:dyDescent="0.15">
      <c r="A1089" s="2">
        <v>5</v>
      </c>
      <c r="B1089" s="1" t="s">
        <v>82</v>
      </c>
      <c r="C1089" s="4">
        <v>43</v>
      </c>
      <c r="D1089" s="8">
        <v>7.26</v>
      </c>
      <c r="E1089" s="4">
        <v>39</v>
      </c>
      <c r="F1089" s="8">
        <v>8.84</v>
      </c>
      <c r="G1089" s="4">
        <v>4</v>
      </c>
      <c r="H1089" s="8">
        <v>2.67</v>
      </c>
      <c r="I1089" s="4">
        <v>0</v>
      </c>
    </row>
    <row r="1090" spans="1:9" x14ac:dyDescent="0.15">
      <c r="A1090" s="2">
        <v>7</v>
      </c>
      <c r="B1090" s="1" t="s">
        <v>76</v>
      </c>
      <c r="C1090" s="4">
        <v>26</v>
      </c>
      <c r="D1090" s="8">
        <v>4.3899999999999997</v>
      </c>
      <c r="E1090" s="4">
        <v>19</v>
      </c>
      <c r="F1090" s="8">
        <v>4.3099999999999996</v>
      </c>
      <c r="G1090" s="4">
        <v>7</v>
      </c>
      <c r="H1090" s="8">
        <v>4.67</v>
      </c>
      <c r="I1090" s="4">
        <v>0</v>
      </c>
    </row>
    <row r="1091" spans="1:9" x14ac:dyDescent="0.15">
      <c r="A1091" s="2">
        <v>7</v>
      </c>
      <c r="B1091" s="1" t="s">
        <v>83</v>
      </c>
      <c r="C1091" s="4">
        <v>26</v>
      </c>
      <c r="D1091" s="8">
        <v>4.3899999999999997</v>
      </c>
      <c r="E1091" s="4">
        <v>23</v>
      </c>
      <c r="F1091" s="8">
        <v>5.22</v>
      </c>
      <c r="G1091" s="4">
        <v>3</v>
      </c>
      <c r="H1091" s="8">
        <v>2</v>
      </c>
      <c r="I1091" s="4">
        <v>0</v>
      </c>
    </row>
    <row r="1092" spans="1:9" x14ac:dyDescent="0.15">
      <c r="A1092" s="2">
        <v>9</v>
      </c>
      <c r="B1092" s="1" t="s">
        <v>81</v>
      </c>
      <c r="C1092" s="4">
        <v>16</v>
      </c>
      <c r="D1092" s="8">
        <v>2.7</v>
      </c>
      <c r="E1092" s="4">
        <v>11</v>
      </c>
      <c r="F1092" s="8">
        <v>2.4900000000000002</v>
      </c>
      <c r="G1092" s="4">
        <v>5</v>
      </c>
      <c r="H1092" s="8">
        <v>3.33</v>
      </c>
      <c r="I1092" s="4">
        <v>0</v>
      </c>
    </row>
    <row r="1093" spans="1:9" x14ac:dyDescent="0.15">
      <c r="A1093" s="2">
        <v>9</v>
      </c>
      <c r="B1093" s="1" t="s">
        <v>92</v>
      </c>
      <c r="C1093" s="4">
        <v>16</v>
      </c>
      <c r="D1093" s="8">
        <v>2.7</v>
      </c>
      <c r="E1093" s="4">
        <v>13</v>
      </c>
      <c r="F1093" s="8">
        <v>2.95</v>
      </c>
      <c r="G1093" s="4">
        <v>3</v>
      </c>
      <c r="H1093" s="8">
        <v>2</v>
      </c>
      <c r="I1093" s="4">
        <v>0</v>
      </c>
    </row>
    <row r="1094" spans="1:9" x14ac:dyDescent="0.15">
      <c r="A1094" s="2">
        <v>11</v>
      </c>
      <c r="B1094" s="1" t="s">
        <v>107</v>
      </c>
      <c r="C1094" s="4">
        <v>15</v>
      </c>
      <c r="D1094" s="8">
        <v>2.5299999999999998</v>
      </c>
      <c r="E1094" s="4">
        <v>8</v>
      </c>
      <c r="F1094" s="8">
        <v>1.81</v>
      </c>
      <c r="G1094" s="4">
        <v>6</v>
      </c>
      <c r="H1094" s="8">
        <v>4</v>
      </c>
      <c r="I1094" s="4">
        <v>1</v>
      </c>
    </row>
    <row r="1095" spans="1:9" x14ac:dyDescent="0.15">
      <c r="A1095" s="2">
        <v>12</v>
      </c>
      <c r="B1095" s="1" t="s">
        <v>88</v>
      </c>
      <c r="C1095" s="4">
        <v>14</v>
      </c>
      <c r="D1095" s="8">
        <v>2.36</v>
      </c>
      <c r="E1095" s="4">
        <v>7</v>
      </c>
      <c r="F1095" s="8">
        <v>1.59</v>
      </c>
      <c r="G1095" s="4">
        <v>7</v>
      </c>
      <c r="H1095" s="8">
        <v>4.67</v>
      </c>
      <c r="I1095" s="4">
        <v>0</v>
      </c>
    </row>
    <row r="1096" spans="1:9" x14ac:dyDescent="0.15">
      <c r="A1096" s="2">
        <v>13</v>
      </c>
      <c r="B1096" s="1" t="s">
        <v>106</v>
      </c>
      <c r="C1096" s="4">
        <v>13</v>
      </c>
      <c r="D1096" s="8">
        <v>2.2000000000000002</v>
      </c>
      <c r="E1096" s="4">
        <v>11</v>
      </c>
      <c r="F1096" s="8">
        <v>2.4900000000000002</v>
      </c>
      <c r="G1096" s="4">
        <v>2</v>
      </c>
      <c r="H1096" s="8">
        <v>1.33</v>
      </c>
      <c r="I1096" s="4">
        <v>0</v>
      </c>
    </row>
    <row r="1097" spans="1:9" x14ac:dyDescent="0.15">
      <c r="A1097" s="2">
        <v>14</v>
      </c>
      <c r="B1097" s="1" t="s">
        <v>103</v>
      </c>
      <c r="C1097" s="4">
        <v>12</v>
      </c>
      <c r="D1097" s="8">
        <v>2.0299999999999998</v>
      </c>
      <c r="E1097" s="4">
        <v>12</v>
      </c>
      <c r="F1097" s="8">
        <v>2.72</v>
      </c>
      <c r="G1097" s="4">
        <v>0</v>
      </c>
      <c r="H1097" s="8">
        <v>0</v>
      </c>
      <c r="I1097" s="4">
        <v>0</v>
      </c>
    </row>
    <row r="1098" spans="1:9" x14ac:dyDescent="0.15">
      <c r="A1098" s="2">
        <v>15</v>
      </c>
      <c r="B1098" s="1" t="s">
        <v>111</v>
      </c>
      <c r="C1098" s="4">
        <v>11</v>
      </c>
      <c r="D1098" s="8">
        <v>1.86</v>
      </c>
      <c r="E1098" s="4">
        <v>9</v>
      </c>
      <c r="F1098" s="8">
        <v>2.04</v>
      </c>
      <c r="G1098" s="4">
        <v>2</v>
      </c>
      <c r="H1098" s="8">
        <v>1.33</v>
      </c>
      <c r="I1098" s="4">
        <v>0</v>
      </c>
    </row>
    <row r="1099" spans="1:9" x14ac:dyDescent="0.15">
      <c r="A1099" s="2">
        <v>16</v>
      </c>
      <c r="B1099" s="1" t="s">
        <v>80</v>
      </c>
      <c r="C1099" s="4">
        <v>9</v>
      </c>
      <c r="D1099" s="8">
        <v>1.52</v>
      </c>
      <c r="E1099" s="4">
        <v>8</v>
      </c>
      <c r="F1099" s="8">
        <v>1.81</v>
      </c>
      <c r="G1099" s="4">
        <v>1</v>
      </c>
      <c r="H1099" s="8">
        <v>0.67</v>
      </c>
      <c r="I1099" s="4">
        <v>0</v>
      </c>
    </row>
    <row r="1100" spans="1:9" x14ac:dyDescent="0.15">
      <c r="A1100" s="2">
        <v>17</v>
      </c>
      <c r="B1100" s="1" t="s">
        <v>110</v>
      </c>
      <c r="C1100" s="4">
        <v>8</v>
      </c>
      <c r="D1100" s="8">
        <v>1.35</v>
      </c>
      <c r="E1100" s="4">
        <v>5</v>
      </c>
      <c r="F1100" s="8">
        <v>1.1299999999999999</v>
      </c>
      <c r="G1100" s="4">
        <v>3</v>
      </c>
      <c r="H1100" s="8">
        <v>2</v>
      </c>
      <c r="I1100" s="4">
        <v>0</v>
      </c>
    </row>
    <row r="1101" spans="1:9" x14ac:dyDescent="0.15">
      <c r="A1101" s="2">
        <v>17</v>
      </c>
      <c r="B1101" s="1" t="s">
        <v>86</v>
      </c>
      <c r="C1101" s="4">
        <v>8</v>
      </c>
      <c r="D1101" s="8">
        <v>1.35</v>
      </c>
      <c r="E1101" s="4">
        <v>5</v>
      </c>
      <c r="F1101" s="8">
        <v>1.1299999999999999</v>
      </c>
      <c r="G1101" s="4">
        <v>3</v>
      </c>
      <c r="H1101" s="8">
        <v>2</v>
      </c>
      <c r="I1101" s="4">
        <v>0</v>
      </c>
    </row>
    <row r="1102" spans="1:9" x14ac:dyDescent="0.15">
      <c r="A1102" s="2">
        <v>17</v>
      </c>
      <c r="B1102" s="1" t="s">
        <v>93</v>
      </c>
      <c r="C1102" s="4">
        <v>8</v>
      </c>
      <c r="D1102" s="8">
        <v>1.35</v>
      </c>
      <c r="E1102" s="4">
        <v>8</v>
      </c>
      <c r="F1102" s="8">
        <v>1.81</v>
      </c>
      <c r="G1102" s="4">
        <v>0</v>
      </c>
      <c r="H1102" s="8">
        <v>0</v>
      </c>
      <c r="I1102" s="4">
        <v>0</v>
      </c>
    </row>
    <row r="1103" spans="1:9" x14ac:dyDescent="0.15">
      <c r="A1103" s="2">
        <v>20</v>
      </c>
      <c r="B1103" s="1" t="s">
        <v>87</v>
      </c>
      <c r="C1103" s="4">
        <v>7</v>
      </c>
      <c r="D1103" s="8">
        <v>1.18</v>
      </c>
      <c r="E1103" s="4">
        <v>7</v>
      </c>
      <c r="F1103" s="8">
        <v>1.59</v>
      </c>
      <c r="G1103" s="4">
        <v>0</v>
      </c>
      <c r="H1103" s="8">
        <v>0</v>
      </c>
      <c r="I1103" s="4">
        <v>0</v>
      </c>
    </row>
    <row r="1104" spans="1:9" x14ac:dyDescent="0.15">
      <c r="A1104" s="2">
        <v>20</v>
      </c>
      <c r="B1104" s="1" t="s">
        <v>94</v>
      </c>
      <c r="C1104" s="4">
        <v>7</v>
      </c>
      <c r="D1104" s="8">
        <v>1.18</v>
      </c>
      <c r="E1104" s="4">
        <v>0</v>
      </c>
      <c r="F1104" s="8">
        <v>0</v>
      </c>
      <c r="G1104" s="4">
        <v>7</v>
      </c>
      <c r="H1104" s="8">
        <v>4.67</v>
      </c>
      <c r="I1104" s="4">
        <v>0</v>
      </c>
    </row>
    <row r="1105" spans="1:9" x14ac:dyDescent="0.15">
      <c r="A1105" s="1"/>
      <c r="C1105" s="4"/>
      <c r="D1105" s="8"/>
      <c r="E1105" s="4"/>
      <c r="F1105" s="8"/>
      <c r="G1105" s="4"/>
      <c r="H1105" s="8"/>
      <c r="I1105" s="4"/>
    </row>
    <row r="1106" spans="1:9" x14ac:dyDescent="0.15">
      <c r="A1106" s="1" t="s">
        <v>49</v>
      </c>
      <c r="C1106" s="4"/>
      <c r="D1106" s="8"/>
      <c r="E1106" s="4"/>
      <c r="F1106" s="8"/>
      <c r="G1106" s="4"/>
      <c r="H1106" s="8"/>
      <c r="I1106" s="4"/>
    </row>
    <row r="1107" spans="1:9" x14ac:dyDescent="0.15">
      <c r="A1107" s="2">
        <v>1</v>
      </c>
      <c r="B1107" s="1" t="s">
        <v>108</v>
      </c>
      <c r="C1107" s="4">
        <v>100</v>
      </c>
      <c r="D1107" s="8">
        <v>12.66</v>
      </c>
      <c r="E1107" s="4">
        <v>96</v>
      </c>
      <c r="F1107" s="8">
        <v>15.41</v>
      </c>
      <c r="G1107" s="4">
        <v>4</v>
      </c>
      <c r="H1107" s="8">
        <v>2.4700000000000002</v>
      </c>
      <c r="I1107" s="4">
        <v>0</v>
      </c>
    </row>
    <row r="1108" spans="1:9" x14ac:dyDescent="0.15">
      <c r="A1108" s="2">
        <v>2</v>
      </c>
      <c r="B1108" s="1" t="s">
        <v>84</v>
      </c>
      <c r="C1108" s="4">
        <v>75</v>
      </c>
      <c r="D1108" s="8">
        <v>9.49</v>
      </c>
      <c r="E1108" s="4">
        <v>58</v>
      </c>
      <c r="F1108" s="8">
        <v>9.31</v>
      </c>
      <c r="G1108" s="4">
        <v>17</v>
      </c>
      <c r="H1108" s="8">
        <v>10.49</v>
      </c>
      <c r="I1108" s="4">
        <v>0</v>
      </c>
    </row>
    <row r="1109" spans="1:9" x14ac:dyDescent="0.15">
      <c r="A1109" s="2">
        <v>3</v>
      </c>
      <c r="B1109" s="1" t="s">
        <v>82</v>
      </c>
      <c r="C1109" s="4">
        <v>73</v>
      </c>
      <c r="D1109" s="8">
        <v>9.24</v>
      </c>
      <c r="E1109" s="4">
        <v>53</v>
      </c>
      <c r="F1109" s="8">
        <v>8.51</v>
      </c>
      <c r="G1109" s="4">
        <v>20</v>
      </c>
      <c r="H1109" s="8">
        <v>12.35</v>
      </c>
      <c r="I1109" s="4">
        <v>0</v>
      </c>
    </row>
    <row r="1110" spans="1:9" x14ac:dyDescent="0.15">
      <c r="A1110" s="2">
        <v>4</v>
      </c>
      <c r="B1110" s="1" t="s">
        <v>90</v>
      </c>
      <c r="C1110" s="4">
        <v>68</v>
      </c>
      <c r="D1110" s="8">
        <v>8.61</v>
      </c>
      <c r="E1110" s="4">
        <v>66</v>
      </c>
      <c r="F1110" s="8">
        <v>10.59</v>
      </c>
      <c r="G1110" s="4">
        <v>2</v>
      </c>
      <c r="H1110" s="8">
        <v>1.23</v>
      </c>
      <c r="I1110" s="4">
        <v>0</v>
      </c>
    </row>
    <row r="1111" spans="1:9" x14ac:dyDescent="0.15">
      <c r="A1111" s="2">
        <v>5</v>
      </c>
      <c r="B1111" s="1" t="s">
        <v>74</v>
      </c>
      <c r="C1111" s="4">
        <v>66</v>
      </c>
      <c r="D1111" s="8">
        <v>8.35</v>
      </c>
      <c r="E1111" s="4">
        <v>46</v>
      </c>
      <c r="F1111" s="8">
        <v>7.38</v>
      </c>
      <c r="G1111" s="4">
        <v>20</v>
      </c>
      <c r="H1111" s="8">
        <v>12.35</v>
      </c>
      <c r="I1111" s="4">
        <v>0</v>
      </c>
    </row>
    <row r="1112" spans="1:9" x14ac:dyDescent="0.15">
      <c r="A1112" s="2">
        <v>6</v>
      </c>
      <c r="B1112" s="1" t="s">
        <v>107</v>
      </c>
      <c r="C1112" s="4">
        <v>60</v>
      </c>
      <c r="D1112" s="8">
        <v>7.59</v>
      </c>
      <c r="E1112" s="4">
        <v>27</v>
      </c>
      <c r="F1112" s="8">
        <v>4.33</v>
      </c>
      <c r="G1112" s="4">
        <v>32</v>
      </c>
      <c r="H1112" s="8">
        <v>19.75</v>
      </c>
      <c r="I1112" s="4">
        <v>1</v>
      </c>
    </row>
    <row r="1113" spans="1:9" x14ac:dyDescent="0.15">
      <c r="A1113" s="2">
        <v>7</v>
      </c>
      <c r="B1113" s="1" t="s">
        <v>89</v>
      </c>
      <c r="C1113" s="4">
        <v>50</v>
      </c>
      <c r="D1113" s="8">
        <v>6.33</v>
      </c>
      <c r="E1113" s="4">
        <v>49</v>
      </c>
      <c r="F1113" s="8">
        <v>7.87</v>
      </c>
      <c r="G1113" s="4">
        <v>1</v>
      </c>
      <c r="H1113" s="8">
        <v>0.62</v>
      </c>
      <c r="I1113" s="4">
        <v>0</v>
      </c>
    </row>
    <row r="1114" spans="1:9" x14ac:dyDescent="0.15">
      <c r="A1114" s="2">
        <v>8</v>
      </c>
      <c r="B1114" s="1" t="s">
        <v>75</v>
      </c>
      <c r="C1114" s="4">
        <v>43</v>
      </c>
      <c r="D1114" s="8">
        <v>5.44</v>
      </c>
      <c r="E1114" s="4">
        <v>39</v>
      </c>
      <c r="F1114" s="8">
        <v>6.26</v>
      </c>
      <c r="G1114" s="4">
        <v>4</v>
      </c>
      <c r="H1114" s="8">
        <v>2.4700000000000002</v>
      </c>
      <c r="I1114" s="4">
        <v>0</v>
      </c>
    </row>
    <row r="1115" spans="1:9" x14ac:dyDescent="0.15">
      <c r="A1115" s="2">
        <v>9</v>
      </c>
      <c r="B1115" s="1" t="s">
        <v>92</v>
      </c>
      <c r="C1115" s="4">
        <v>31</v>
      </c>
      <c r="D1115" s="8">
        <v>3.92</v>
      </c>
      <c r="E1115" s="4">
        <v>29</v>
      </c>
      <c r="F1115" s="8">
        <v>4.6500000000000004</v>
      </c>
      <c r="G1115" s="4">
        <v>1</v>
      </c>
      <c r="H1115" s="8">
        <v>0.62</v>
      </c>
      <c r="I1115" s="4">
        <v>1</v>
      </c>
    </row>
    <row r="1116" spans="1:9" x14ac:dyDescent="0.15">
      <c r="A1116" s="2">
        <v>10</v>
      </c>
      <c r="B1116" s="1" t="s">
        <v>83</v>
      </c>
      <c r="C1116" s="4">
        <v>26</v>
      </c>
      <c r="D1116" s="8">
        <v>3.29</v>
      </c>
      <c r="E1116" s="4">
        <v>22</v>
      </c>
      <c r="F1116" s="8">
        <v>3.53</v>
      </c>
      <c r="G1116" s="4">
        <v>4</v>
      </c>
      <c r="H1116" s="8">
        <v>2.4700000000000002</v>
      </c>
      <c r="I1116" s="4">
        <v>0</v>
      </c>
    </row>
    <row r="1117" spans="1:9" x14ac:dyDescent="0.15">
      <c r="A1117" s="2">
        <v>11</v>
      </c>
      <c r="B1117" s="1" t="s">
        <v>76</v>
      </c>
      <c r="C1117" s="4">
        <v>22</v>
      </c>
      <c r="D1117" s="8">
        <v>2.78</v>
      </c>
      <c r="E1117" s="4">
        <v>21</v>
      </c>
      <c r="F1117" s="8">
        <v>3.37</v>
      </c>
      <c r="G1117" s="4">
        <v>1</v>
      </c>
      <c r="H1117" s="8">
        <v>0.62</v>
      </c>
      <c r="I1117" s="4">
        <v>0</v>
      </c>
    </row>
    <row r="1118" spans="1:9" x14ac:dyDescent="0.15">
      <c r="A1118" s="2">
        <v>12</v>
      </c>
      <c r="B1118" s="1" t="s">
        <v>81</v>
      </c>
      <c r="C1118" s="4">
        <v>17</v>
      </c>
      <c r="D1118" s="8">
        <v>2.15</v>
      </c>
      <c r="E1118" s="4">
        <v>15</v>
      </c>
      <c r="F1118" s="8">
        <v>2.41</v>
      </c>
      <c r="G1118" s="4">
        <v>2</v>
      </c>
      <c r="H1118" s="8">
        <v>1.23</v>
      </c>
      <c r="I1118" s="4">
        <v>0</v>
      </c>
    </row>
    <row r="1119" spans="1:9" x14ac:dyDescent="0.15">
      <c r="A1119" s="2">
        <v>13</v>
      </c>
      <c r="B1119" s="1" t="s">
        <v>93</v>
      </c>
      <c r="C1119" s="4">
        <v>14</v>
      </c>
      <c r="D1119" s="8">
        <v>1.77</v>
      </c>
      <c r="E1119" s="4">
        <v>14</v>
      </c>
      <c r="F1119" s="8">
        <v>2.25</v>
      </c>
      <c r="G1119" s="4">
        <v>0</v>
      </c>
      <c r="H1119" s="8">
        <v>0</v>
      </c>
      <c r="I1119" s="4">
        <v>0</v>
      </c>
    </row>
    <row r="1120" spans="1:9" x14ac:dyDescent="0.15">
      <c r="A1120" s="2">
        <v>14</v>
      </c>
      <c r="B1120" s="1" t="s">
        <v>88</v>
      </c>
      <c r="C1120" s="4">
        <v>12</v>
      </c>
      <c r="D1120" s="8">
        <v>1.52</v>
      </c>
      <c r="E1120" s="4">
        <v>12</v>
      </c>
      <c r="F1120" s="8">
        <v>1.93</v>
      </c>
      <c r="G1120" s="4">
        <v>0</v>
      </c>
      <c r="H1120" s="8">
        <v>0</v>
      </c>
      <c r="I1120" s="4">
        <v>0</v>
      </c>
    </row>
    <row r="1121" spans="1:9" x14ac:dyDescent="0.15">
      <c r="A1121" s="2">
        <v>15</v>
      </c>
      <c r="B1121" s="1" t="s">
        <v>96</v>
      </c>
      <c r="C1121" s="4">
        <v>10</v>
      </c>
      <c r="D1121" s="8">
        <v>1.27</v>
      </c>
      <c r="E1121" s="4">
        <v>7</v>
      </c>
      <c r="F1121" s="8">
        <v>1.1200000000000001</v>
      </c>
      <c r="G1121" s="4">
        <v>3</v>
      </c>
      <c r="H1121" s="8">
        <v>1.85</v>
      </c>
      <c r="I1121" s="4">
        <v>0</v>
      </c>
    </row>
    <row r="1122" spans="1:9" x14ac:dyDescent="0.15">
      <c r="A1122" s="2">
        <v>16</v>
      </c>
      <c r="B1122" s="1" t="s">
        <v>87</v>
      </c>
      <c r="C1122" s="4">
        <v>9</v>
      </c>
      <c r="D1122" s="8">
        <v>1.1399999999999999</v>
      </c>
      <c r="E1122" s="4">
        <v>8</v>
      </c>
      <c r="F1122" s="8">
        <v>1.28</v>
      </c>
      <c r="G1122" s="4">
        <v>1</v>
      </c>
      <c r="H1122" s="8">
        <v>0.62</v>
      </c>
      <c r="I1122" s="4">
        <v>0</v>
      </c>
    </row>
    <row r="1123" spans="1:9" x14ac:dyDescent="0.15">
      <c r="A1123" s="2">
        <v>17</v>
      </c>
      <c r="B1123" s="1" t="s">
        <v>78</v>
      </c>
      <c r="C1123" s="4">
        <v>7</v>
      </c>
      <c r="D1123" s="8">
        <v>0.89</v>
      </c>
      <c r="E1123" s="4">
        <v>2</v>
      </c>
      <c r="F1123" s="8">
        <v>0.32</v>
      </c>
      <c r="G1123" s="4">
        <v>5</v>
      </c>
      <c r="H1123" s="8">
        <v>3.09</v>
      </c>
      <c r="I1123" s="4">
        <v>0</v>
      </c>
    </row>
    <row r="1124" spans="1:9" x14ac:dyDescent="0.15">
      <c r="A1124" s="2">
        <v>17</v>
      </c>
      <c r="B1124" s="1" t="s">
        <v>106</v>
      </c>
      <c r="C1124" s="4">
        <v>7</v>
      </c>
      <c r="D1124" s="8">
        <v>0.89</v>
      </c>
      <c r="E1124" s="4">
        <v>6</v>
      </c>
      <c r="F1124" s="8">
        <v>0.96</v>
      </c>
      <c r="G1124" s="4">
        <v>1</v>
      </c>
      <c r="H1124" s="8">
        <v>0.62</v>
      </c>
      <c r="I1124" s="4">
        <v>0</v>
      </c>
    </row>
    <row r="1125" spans="1:9" x14ac:dyDescent="0.15">
      <c r="A1125" s="2">
        <v>19</v>
      </c>
      <c r="B1125" s="1" t="s">
        <v>77</v>
      </c>
      <c r="C1125" s="4">
        <v>6</v>
      </c>
      <c r="D1125" s="8">
        <v>0.76</v>
      </c>
      <c r="E1125" s="4">
        <v>4</v>
      </c>
      <c r="F1125" s="8">
        <v>0.64</v>
      </c>
      <c r="G1125" s="4">
        <v>2</v>
      </c>
      <c r="H1125" s="8">
        <v>1.23</v>
      </c>
      <c r="I1125" s="4">
        <v>0</v>
      </c>
    </row>
    <row r="1126" spans="1:9" x14ac:dyDescent="0.15">
      <c r="A1126" s="2">
        <v>19</v>
      </c>
      <c r="B1126" s="1" t="s">
        <v>116</v>
      </c>
      <c r="C1126" s="4">
        <v>6</v>
      </c>
      <c r="D1126" s="8">
        <v>0.76</v>
      </c>
      <c r="E1126" s="4">
        <v>3</v>
      </c>
      <c r="F1126" s="8">
        <v>0.48</v>
      </c>
      <c r="G1126" s="4">
        <v>3</v>
      </c>
      <c r="H1126" s="8">
        <v>1.85</v>
      </c>
      <c r="I1126" s="4">
        <v>0</v>
      </c>
    </row>
    <row r="1127" spans="1:9" x14ac:dyDescent="0.15">
      <c r="A1127" s="2">
        <v>19</v>
      </c>
      <c r="B1127" s="1" t="s">
        <v>79</v>
      </c>
      <c r="C1127" s="4">
        <v>6</v>
      </c>
      <c r="D1127" s="8">
        <v>0.76</v>
      </c>
      <c r="E1127" s="4">
        <v>4</v>
      </c>
      <c r="F1127" s="8">
        <v>0.64</v>
      </c>
      <c r="G1127" s="4">
        <v>2</v>
      </c>
      <c r="H1127" s="8">
        <v>1.23</v>
      </c>
      <c r="I1127" s="4">
        <v>0</v>
      </c>
    </row>
    <row r="1128" spans="1:9" x14ac:dyDescent="0.15">
      <c r="A1128" s="2">
        <v>19</v>
      </c>
      <c r="B1128" s="1" t="s">
        <v>86</v>
      </c>
      <c r="C1128" s="4">
        <v>6</v>
      </c>
      <c r="D1128" s="8">
        <v>0.76</v>
      </c>
      <c r="E1128" s="4">
        <v>4</v>
      </c>
      <c r="F1128" s="8">
        <v>0.64</v>
      </c>
      <c r="G1128" s="4">
        <v>2</v>
      </c>
      <c r="H1128" s="8">
        <v>1.23</v>
      </c>
      <c r="I1128" s="4">
        <v>0</v>
      </c>
    </row>
    <row r="1129" spans="1:9" x14ac:dyDescent="0.15">
      <c r="A1129" s="2">
        <v>19</v>
      </c>
      <c r="B1129" s="1" t="s">
        <v>105</v>
      </c>
      <c r="C1129" s="4">
        <v>6</v>
      </c>
      <c r="D1129" s="8">
        <v>0.76</v>
      </c>
      <c r="E1129" s="4">
        <v>6</v>
      </c>
      <c r="F1129" s="8">
        <v>0.96</v>
      </c>
      <c r="G1129" s="4">
        <v>0</v>
      </c>
      <c r="H1129" s="8">
        <v>0</v>
      </c>
      <c r="I1129" s="4">
        <v>0</v>
      </c>
    </row>
    <row r="1130" spans="1:9" x14ac:dyDescent="0.15">
      <c r="A1130" s="1"/>
      <c r="C1130" s="4"/>
      <c r="D1130" s="8"/>
      <c r="E1130" s="4"/>
      <c r="F1130" s="8"/>
      <c r="G1130" s="4"/>
      <c r="H1130" s="8"/>
      <c r="I1130" s="4"/>
    </row>
    <row r="1131" spans="1:9" x14ac:dyDescent="0.15">
      <c r="A1131" s="1" t="s">
        <v>50</v>
      </c>
      <c r="C1131" s="4"/>
      <c r="D1131" s="8"/>
      <c r="E1131" s="4"/>
      <c r="F1131" s="8"/>
      <c r="G1131" s="4"/>
      <c r="H1131" s="8"/>
      <c r="I1131" s="4"/>
    </row>
    <row r="1132" spans="1:9" x14ac:dyDescent="0.15">
      <c r="A1132" s="2">
        <v>1</v>
      </c>
      <c r="B1132" s="1" t="s">
        <v>89</v>
      </c>
      <c r="C1132" s="4">
        <v>53</v>
      </c>
      <c r="D1132" s="8">
        <v>11.52</v>
      </c>
      <c r="E1132" s="4">
        <v>50</v>
      </c>
      <c r="F1132" s="8">
        <v>14.53</v>
      </c>
      <c r="G1132" s="4">
        <v>3</v>
      </c>
      <c r="H1132" s="8">
        <v>2.65</v>
      </c>
      <c r="I1132" s="4">
        <v>0</v>
      </c>
    </row>
    <row r="1133" spans="1:9" x14ac:dyDescent="0.15">
      <c r="A1133" s="2">
        <v>2</v>
      </c>
      <c r="B1133" s="1" t="s">
        <v>74</v>
      </c>
      <c r="C1133" s="4">
        <v>51</v>
      </c>
      <c r="D1133" s="8">
        <v>11.09</v>
      </c>
      <c r="E1133" s="4">
        <v>21</v>
      </c>
      <c r="F1133" s="8">
        <v>6.1</v>
      </c>
      <c r="G1133" s="4">
        <v>30</v>
      </c>
      <c r="H1133" s="8">
        <v>26.55</v>
      </c>
      <c r="I1133" s="4">
        <v>0</v>
      </c>
    </row>
    <row r="1134" spans="1:9" x14ac:dyDescent="0.15">
      <c r="A1134" s="2">
        <v>3</v>
      </c>
      <c r="B1134" s="1" t="s">
        <v>90</v>
      </c>
      <c r="C1134" s="4">
        <v>49</v>
      </c>
      <c r="D1134" s="8">
        <v>10.65</v>
      </c>
      <c r="E1134" s="4">
        <v>47</v>
      </c>
      <c r="F1134" s="8">
        <v>13.66</v>
      </c>
      <c r="G1134" s="4">
        <v>2</v>
      </c>
      <c r="H1134" s="8">
        <v>1.77</v>
      </c>
      <c r="I1134" s="4">
        <v>0</v>
      </c>
    </row>
    <row r="1135" spans="1:9" x14ac:dyDescent="0.15">
      <c r="A1135" s="2">
        <v>4</v>
      </c>
      <c r="B1135" s="1" t="s">
        <v>84</v>
      </c>
      <c r="C1135" s="4">
        <v>47</v>
      </c>
      <c r="D1135" s="8">
        <v>10.220000000000001</v>
      </c>
      <c r="E1135" s="4">
        <v>36</v>
      </c>
      <c r="F1135" s="8">
        <v>10.47</v>
      </c>
      <c r="G1135" s="4">
        <v>11</v>
      </c>
      <c r="H1135" s="8">
        <v>9.73</v>
      </c>
      <c r="I1135" s="4">
        <v>0</v>
      </c>
    </row>
    <row r="1136" spans="1:9" x14ac:dyDescent="0.15">
      <c r="A1136" s="2">
        <v>5</v>
      </c>
      <c r="B1136" s="1" t="s">
        <v>82</v>
      </c>
      <c r="C1136" s="4">
        <v>38</v>
      </c>
      <c r="D1136" s="8">
        <v>8.26</v>
      </c>
      <c r="E1136" s="4">
        <v>31</v>
      </c>
      <c r="F1136" s="8">
        <v>9.01</v>
      </c>
      <c r="G1136" s="4">
        <v>7</v>
      </c>
      <c r="H1136" s="8">
        <v>6.19</v>
      </c>
      <c r="I1136" s="4">
        <v>0</v>
      </c>
    </row>
    <row r="1137" spans="1:9" x14ac:dyDescent="0.15">
      <c r="A1137" s="2">
        <v>6</v>
      </c>
      <c r="B1137" s="1" t="s">
        <v>75</v>
      </c>
      <c r="C1137" s="4">
        <v>26</v>
      </c>
      <c r="D1137" s="8">
        <v>5.65</v>
      </c>
      <c r="E1137" s="4">
        <v>20</v>
      </c>
      <c r="F1137" s="8">
        <v>5.81</v>
      </c>
      <c r="G1137" s="4">
        <v>6</v>
      </c>
      <c r="H1137" s="8">
        <v>5.31</v>
      </c>
      <c r="I1137" s="4">
        <v>0</v>
      </c>
    </row>
    <row r="1138" spans="1:9" x14ac:dyDescent="0.15">
      <c r="A1138" s="2">
        <v>7</v>
      </c>
      <c r="B1138" s="1" t="s">
        <v>108</v>
      </c>
      <c r="C1138" s="4">
        <v>24</v>
      </c>
      <c r="D1138" s="8">
        <v>5.22</v>
      </c>
      <c r="E1138" s="4">
        <v>19</v>
      </c>
      <c r="F1138" s="8">
        <v>5.52</v>
      </c>
      <c r="G1138" s="4">
        <v>5</v>
      </c>
      <c r="H1138" s="8">
        <v>4.42</v>
      </c>
      <c r="I1138" s="4">
        <v>0</v>
      </c>
    </row>
    <row r="1139" spans="1:9" x14ac:dyDescent="0.15">
      <c r="A1139" s="2">
        <v>8</v>
      </c>
      <c r="B1139" s="1" t="s">
        <v>83</v>
      </c>
      <c r="C1139" s="4">
        <v>17</v>
      </c>
      <c r="D1139" s="8">
        <v>3.7</v>
      </c>
      <c r="E1139" s="4">
        <v>13</v>
      </c>
      <c r="F1139" s="8">
        <v>3.78</v>
      </c>
      <c r="G1139" s="4">
        <v>4</v>
      </c>
      <c r="H1139" s="8">
        <v>3.54</v>
      </c>
      <c r="I1139" s="4">
        <v>0</v>
      </c>
    </row>
    <row r="1140" spans="1:9" x14ac:dyDescent="0.15">
      <c r="A1140" s="2">
        <v>9</v>
      </c>
      <c r="B1140" s="1" t="s">
        <v>86</v>
      </c>
      <c r="C1140" s="4">
        <v>15</v>
      </c>
      <c r="D1140" s="8">
        <v>3.26</v>
      </c>
      <c r="E1140" s="4">
        <v>12</v>
      </c>
      <c r="F1140" s="8">
        <v>3.49</v>
      </c>
      <c r="G1140" s="4">
        <v>3</v>
      </c>
      <c r="H1140" s="8">
        <v>2.65</v>
      </c>
      <c r="I1140" s="4">
        <v>0</v>
      </c>
    </row>
    <row r="1141" spans="1:9" x14ac:dyDescent="0.15">
      <c r="A1141" s="2">
        <v>10</v>
      </c>
      <c r="B1141" s="1" t="s">
        <v>76</v>
      </c>
      <c r="C1141" s="4">
        <v>13</v>
      </c>
      <c r="D1141" s="8">
        <v>2.83</v>
      </c>
      <c r="E1141" s="4">
        <v>9</v>
      </c>
      <c r="F1141" s="8">
        <v>2.62</v>
      </c>
      <c r="G1141" s="4">
        <v>4</v>
      </c>
      <c r="H1141" s="8">
        <v>3.54</v>
      </c>
      <c r="I1141" s="4">
        <v>0</v>
      </c>
    </row>
    <row r="1142" spans="1:9" x14ac:dyDescent="0.15">
      <c r="A1142" s="2">
        <v>10</v>
      </c>
      <c r="B1142" s="1" t="s">
        <v>107</v>
      </c>
      <c r="C1142" s="4">
        <v>13</v>
      </c>
      <c r="D1142" s="8">
        <v>2.83</v>
      </c>
      <c r="E1142" s="4">
        <v>10</v>
      </c>
      <c r="F1142" s="8">
        <v>2.91</v>
      </c>
      <c r="G1142" s="4">
        <v>3</v>
      </c>
      <c r="H1142" s="8">
        <v>2.65</v>
      </c>
      <c r="I1142" s="4">
        <v>0</v>
      </c>
    </row>
    <row r="1143" spans="1:9" x14ac:dyDescent="0.15">
      <c r="A1143" s="2">
        <v>12</v>
      </c>
      <c r="B1143" s="1" t="s">
        <v>92</v>
      </c>
      <c r="C1143" s="4">
        <v>9</v>
      </c>
      <c r="D1143" s="8">
        <v>1.96</v>
      </c>
      <c r="E1143" s="4">
        <v>8</v>
      </c>
      <c r="F1143" s="8">
        <v>2.33</v>
      </c>
      <c r="G1143" s="4">
        <v>1</v>
      </c>
      <c r="H1143" s="8">
        <v>0.88</v>
      </c>
      <c r="I1143" s="4">
        <v>0</v>
      </c>
    </row>
    <row r="1144" spans="1:9" x14ac:dyDescent="0.15">
      <c r="A1144" s="2">
        <v>12</v>
      </c>
      <c r="B1144" s="1" t="s">
        <v>106</v>
      </c>
      <c r="C1144" s="4">
        <v>9</v>
      </c>
      <c r="D1144" s="8">
        <v>1.96</v>
      </c>
      <c r="E1144" s="4">
        <v>8</v>
      </c>
      <c r="F1144" s="8">
        <v>2.33</v>
      </c>
      <c r="G1144" s="4">
        <v>1</v>
      </c>
      <c r="H1144" s="8">
        <v>0.88</v>
      </c>
      <c r="I1144" s="4">
        <v>0</v>
      </c>
    </row>
    <row r="1145" spans="1:9" x14ac:dyDescent="0.15">
      <c r="A1145" s="2">
        <v>14</v>
      </c>
      <c r="B1145" s="1" t="s">
        <v>96</v>
      </c>
      <c r="C1145" s="4">
        <v>8</v>
      </c>
      <c r="D1145" s="8">
        <v>1.74</v>
      </c>
      <c r="E1145" s="4">
        <v>1</v>
      </c>
      <c r="F1145" s="8">
        <v>0.28999999999999998</v>
      </c>
      <c r="G1145" s="4">
        <v>7</v>
      </c>
      <c r="H1145" s="8">
        <v>6.19</v>
      </c>
      <c r="I1145" s="4">
        <v>0</v>
      </c>
    </row>
    <row r="1146" spans="1:9" x14ac:dyDescent="0.15">
      <c r="A1146" s="2">
        <v>14</v>
      </c>
      <c r="B1146" s="1" t="s">
        <v>81</v>
      </c>
      <c r="C1146" s="4">
        <v>8</v>
      </c>
      <c r="D1146" s="8">
        <v>1.74</v>
      </c>
      <c r="E1146" s="4">
        <v>7</v>
      </c>
      <c r="F1146" s="8">
        <v>2.0299999999999998</v>
      </c>
      <c r="G1146" s="4">
        <v>1</v>
      </c>
      <c r="H1146" s="8">
        <v>0.88</v>
      </c>
      <c r="I1146" s="4">
        <v>0</v>
      </c>
    </row>
    <row r="1147" spans="1:9" x14ac:dyDescent="0.15">
      <c r="A1147" s="2">
        <v>14</v>
      </c>
      <c r="B1147" s="1" t="s">
        <v>87</v>
      </c>
      <c r="C1147" s="4">
        <v>8</v>
      </c>
      <c r="D1147" s="8">
        <v>1.74</v>
      </c>
      <c r="E1147" s="4">
        <v>8</v>
      </c>
      <c r="F1147" s="8">
        <v>2.33</v>
      </c>
      <c r="G1147" s="4">
        <v>0</v>
      </c>
      <c r="H1147" s="8">
        <v>0</v>
      </c>
      <c r="I1147" s="4">
        <v>0</v>
      </c>
    </row>
    <row r="1148" spans="1:9" x14ac:dyDescent="0.15">
      <c r="A1148" s="2">
        <v>14</v>
      </c>
      <c r="B1148" s="1" t="s">
        <v>93</v>
      </c>
      <c r="C1148" s="4">
        <v>8</v>
      </c>
      <c r="D1148" s="8">
        <v>1.74</v>
      </c>
      <c r="E1148" s="4">
        <v>7</v>
      </c>
      <c r="F1148" s="8">
        <v>2.0299999999999998</v>
      </c>
      <c r="G1148" s="4">
        <v>1</v>
      </c>
      <c r="H1148" s="8">
        <v>0.88</v>
      </c>
      <c r="I1148" s="4">
        <v>0</v>
      </c>
    </row>
    <row r="1149" spans="1:9" x14ac:dyDescent="0.15">
      <c r="A1149" s="2">
        <v>18</v>
      </c>
      <c r="B1149" s="1" t="s">
        <v>103</v>
      </c>
      <c r="C1149" s="4">
        <v>7</v>
      </c>
      <c r="D1149" s="8">
        <v>1.52</v>
      </c>
      <c r="E1149" s="4">
        <v>6</v>
      </c>
      <c r="F1149" s="8">
        <v>1.74</v>
      </c>
      <c r="G1149" s="4">
        <v>1</v>
      </c>
      <c r="H1149" s="8">
        <v>0.88</v>
      </c>
      <c r="I1149" s="4">
        <v>0</v>
      </c>
    </row>
    <row r="1150" spans="1:9" x14ac:dyDescent="0.15">
      <c r="A1150" s="2">
        <v>18</v>
      </c>
      <c r="B1150" s="1" t="s">
        <v>88</v>
      </c>
      <c r="C1150" s="4">
        <v>7</v>
      </c>
      <c r="D1150" s="8">
        <v>1.52</v>
      </c>
      <c r="E1150" s="4">
        <v>5</v>
      </c>
      <c r="F1150" s="8">
        <v>1.45</v>
      </c>
      <c r="G1150" s="4">
        <v>2</v>
      </c>
      <c r="H1150" s="8">
        <v>1.77</v>
      </c>
      <c r="I1150" s="4">
        <v>0</v>
      </c>
    </row>
    <row r="1151" spans="1:9" x14ac:dyDescent="0.15">
      <c r="A1151" s="2">
        <v>20</v>
      </c>
      <c r="B1151" s="1" t="s">
        <v>95</v>
      </c>
      <c r="C1151" s="4">
        <v>4</v>
      </c>
      <c r="D1151" s="8">
        <v>0.87</v>
      </c>
      <c r="E1151" s="4">
        <v>4</v>
      </c>
      <c r="F1151" s="8">
        <v>1.1599999999999999</v>
      </c>
      <c r="G1151" s="4">
        <v>0</v>
      </c>
      <c r="H1151" s="8">
        <v>0</v>
      </c>
      <c r="I1151" s="4">
        <v>0</v>
      </c>
    </row>
    <row r="1152" spans="1:9" x14ac:dyDescent="0.15">
      <c r="A1152" s="2">
        <v>20</v>
      </c>
      <c r="B1152" s="1" t="s">
        <v>114</v>
      </c>
      <c r="C1152" s="4">
        <v>4</v>
      </c>
      <c r="D1152" s="8">
        <v>0.87</v>
      </c>
      <c r="E1152" s="4">
        <v>2</v>
      </c>
      <c r="F1152" s="8">
        <v>0.57999999999999996</v>
      </c>
      <c r="G1152" s="4">
        <v>2</v>
      </c>
      <c r="H1152" s="8">
        <v>1.77</v>
      </c>
      <c r="I1152" s="4">
        <v>0</v>
      </c>
    </row>
    <row r="1153" spans="1:9" x14ac:dyDescent="0.15">
      <c r="A1153" s="1"/>
      <c r="C1153" s="4"/>
      <c r="D1153" s="8"/>
      <c r="E1153" s="4"/>
      <c r="F1153" s="8"/>
      <c r="G1153" s="4"/>
      <c r="H1153" s="8"/>
      <c r="I1153" s="4"/>
    </row>
  </sheetData>
  <phoneticPr fontId="1"/>
  <pageMargins left="0.70866141732283505" right="0.70866141732283505" top="0.74803149606299202" bottom="0.74803149606299202" header="0.31496062992126" footer="0.31496062992126"/>
  <pageSetup paperSize="12" scale="87" fitToHeight="0" orientation="portrait" cellComments="atEnd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315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1</v>
      </c>
      <c r="D5" s="8">
        <v>0.05</v>
      </c>
      <c r="E5" s="12">
        <v>1</v>
      </c>
      <c r="F5" s="8">
        <v>0.08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291</v>
      </c>
      <c r="D6" s="8">
        <v>15.65</v>
      </c>
      <c r="E6" s="12">
        <v>104</v>
      </c>
      <c r="F6" s="8">
        <v>8.65</v>
      </c>
      <c r="G6" s="12">
        <v>187</v>
      </c>
      <c r="H6" s="8">
        <v>28.46</v>
      </c>
      <c r="I6" s="12">
        <v>0</v>
      </c>
    </row>
    <row r="7" spans="2:9" ht="15" customHeight="1" x14ac:dyDescent="0.15">
      <c r="B7" t="s">
        <v>53</v>
      </c>
      <c r="C7" s="12">
        <v>122</v>
      </c>
      <c r="D7" s="8">
        <v>6.56</v>
      </c>
      <c r="E7" s="12">
        <v>51</v>
      </c>
      <c r="F7" s="8">
        <v>4.24</v>
      </c>
      <c r="G7" s="12">
        <v>71</v>
      </c>
      <c r="H7" s="8">
        <v>10.81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4</v>
      </c>
      <c r="D9" s="8">
        <v>0.22</v>
      </c>
      <c r="E9" s="12">
        <v>1</v>
      </c>
      <c r="F9" s="8">
        <v>0.08</v>
      </c>
      <c r="G9" s="12">
        <v>3</v>
      </c>
      <c r="H9" s="8">
        <v>0.46</v>
      </c>
      <c r="I9" s="12">
        <v>0</v>
      </c>
    </row>
    <row r="10" spans="2:9" ht="15" customHeight="1" x14ac:dyDescent="0.15">
      <c r="B10" t="s">
        <v>56</v>
      </c>
      <c r="C10" s="12">
        <v>19</v>
      </c>
      <c r="D10" s="8">
        <v>1.02</v>
      </c>
      <c r="E10" s="12">
        <v>4</v>
      </c>
      <c r="F10" s="8">
        <v>0.33</v>
      </c>
      <c r="G10" s="12">
        <v>15</v>
      </c>
      <c r="H10" s="8">
        <v>2.2799999999999998</v>
      </c>
      <c r="I10" s="12">
        <v>0</v>
      </c>
    </row>
    <row r="11" spans="2:9" ht="15" customHeight="1" x14ac:dyDescent="0.15">
      <c r="B11" t="s">
        <v>57</v>
      </c>
      <c r="C11" s="12">
        <v>430</v>
      </c>
      <c r="D11" s="8">
        <v>23.13</v>
      </c>
      <c r="E11" s="12">
        <v>269</v>
      </c>
      <c r="F11" s="8">
        <v>22.38</v>
      </c>
      <c r="G11" s="12">
        <v>161</v>
      </c>
      <c r="H11" s="8">
        <v>24.51</v>
      </c>
      <c r="I11" s="12">
        <v>0</v>
      </c>
    </row>
    <row r="12" spans="2:9" ht="15" customHeight="1" x14ac:dyDescent="0.15">
      <c r="B12" t="s">
        <v>58</v>
      </c>
      <c r="C12" s="12">
        <v>14</v>
      </c>
      <c r="D12" s="8">
        <v>0.75</v>
      </c>
      <c r="E12" s="12">
        <v>7</v>
      </c>
      <c r="F12" s="8">
        <v>0.57999999999999996</v>
      </c>
      <c r="G12" s="12">
        <v>7</v>
      </c>
      <c r="H12" s="8">
        <v>1.07</v>
      </c>
      <c r="I12" s="12">
        <v>0</v>
      </c>
    </row>
    <row r="13" spans="2:9" ht="15" customHeight="1" x14ac:dyDescent="0.15">
      <c r="B13" t="s">
        <v>59</v>
      </c>
      <c r="C13" s="12">
        <v>113</v>
      </c>
      <c r="D13" s="8">
        <v>6.08</v>
      </c>
      <c r="E13" s="12">
        <v>62</v>
      </c>
      <c r="F13" s="8">
        <v>5.16</v>
      </c>
      <c r="G13" s="12">
        <v>51</v>
      </c>
      <c r="H13" s="8">
        <v>7.76</v>
      </c>
      <c r="I13" s="12">
        <v>0</v>
      </c>
    </row>
    <row r="14" spans="2:9" ht="15" customHeight="1" x14ac:dyDescent="0.15">
      <c r="B14" t="s">
        <v>60</v>
      </c>
      <c r="C14" s="12">
        <v>80</v>
      </c>
      <c r="D14" s="8">
        <v>4.3</v>
      </c>
      <c r="E14" s="12">
        <v>53</v>
      </c>
      <c r="F14" s="8">
        <v>4.41</v>
      </c>
      <c r="G14" s="12">
        <v>27</v>
      </c>
      <c r="H14" s="8">
        <v>4.1100000000000003</v>
      </c>
      <c r="I14" s="12">
        <v>0</v>
      </c>
    </row>
    <row r="15" spans="2:9" ht="15" customHeight="1" x14ac:dyDescent="0.15">
      <c r="B15" t="s">
        <v>61</v>
      </c>
      <c r="C15" s="12">
        <v>324</v>
      </c>
      <c r="D15" s="8">
        <v>17.43</v>
      </c>
      <c r="E15" s="12">
        <v>291</v>
      </c>
      <c r="F15" s="8">
        <v>24.21</v>
      </c>
      <c r="G15" s="12">
        <v>33</v>
      </c>
      <c r="H15" s="8">
        <v>5.0199999999999996</v>
      </c>
      <c r="I15" s="12">
        <v>0</v>
      </c>
    </row>
    <row r="16" spans="2:9" ht="15" customHeight="1" x14ac:dyDescent="0.15">
      <c r="B16" t="s">
        <v>62</v>
      </c>
      <c r="C16" s="12">
        <v>249</v>
      </c>
      <c r="D16" s="8">
        <v>13.39</v>
      </c>
      <c r="E16" s="12">
        <v>212</v>
      </c>
      <c r="F16" s="8">
        <v>17.64</v>
      </c>
      <c r="G16" s="12">
        <v>37</v>
      </c>
      <c r="H16" s="8">
        <v>5.63</v>
      </c>
      <c r="I16" s="12">
        <v>0</v>
      </c>
    </row>
    <row r="17" spans="2:9" ht="15" customHeight="1" x14ac:dyDescent="0.15">
      <c r="B17" t="s">
        <v>63</v>
      </c>
      <c r="C17" s="12">
        <v>95</v>
      </c>
      <c r="D17" s="8">
        <v>5.1100000000000003</v>
      </c>
      <c r="E17" s="12">
        <v>77</v>
      </c>
      <c r="F17" s="8">
        <v>6.41</v>
      </c>
      <c r="G17" s="12">
        <v>18</v>
      </c>
      <c r="H17" s="8">
        <v>2.74</v>
      </c>
      <c r="I17" s="12">
        <v>0</v>
      </c>
    </row>
    <row r="18" spans="2:9" ht="15" customHeight="1" x14ac:dyDescent="0.15">
      <c r="B18" t="s">
        <v>64</v>
      </c>
      <c r="C18" s="12">
        <v>65</v>
      </c>
      <c r="D18" s="8">
        <v>3.5</v>
      </c>
      <c r="E18" s="12">
        <v>50</v>
      </c>
      <c r="F18" s="8">
        <v>4.16</v>
      </c>
      <c r="G18" s="12">
        <v>15</v>
      </c>
      <c r="H18" s="8">
        <v>2.2799999999999998</v>
      </c>
      <c r="I18" s="12">
        <v>0</v>
      </c>
    </row>
    <row r="19" spans="2:9" ht="15" customHeight="1" x14ac:dyDescent="0.15">
      <c r="B19" t="s">
        <v>65</v>
      </c>
      <c r="C19" s="12">
        <v>52</v>
      </c>
      <c r="D19" s="8">
        <v>2.8</v>
      </c>
      <c r="E19" s="12">
        <v>20</v>
      </c>
      <c r="F19" s="8">
        <v>1.66</v>
      </c>
      <c r="G19" s="12">
        <v>32</v>
      </c>
      <c r="H19" s="8">
        <v>4.87</v>
      </c>
      <c r="I19" s="12">
        <v>0</v>
      </c>
    </row>
    <row r="20" spans="2:9" ht="15" customHeight="1" x14ac:dyDescent="0.15">
      <c r="B20" s="9" t="s">
        <v>215</v>
      </c>
      <c r="C20" s="12">
        <f>SUM(LTBL_28216[総数／事業所数])</f>
        <v>1859</v>
      </c>
      <c r="E20" s="12">
        <f>SUBTOTAL(109,LTBL_28216[個人／事業所数])</f>
        <v>1202</v>
      </c>
      <c r="G20" s="12">
        <f>SUBTOTAL(109,LTBL_28216[法人／事業所数])</f>
        <v>657</v>
      </c>
      <c r="I20" s="12">
        <f>SUBTOTAL(109,LTBL_28216[法人以外の団体／事業所数])</f>
        <v>0</v>
      </c>
    </row>
    <row r="21" spans="2:9" ht="15" customHeight="1" x14ac:dyDescent="0.15">
      <c r="E21" s="11">
        <f>LTBL_28216[[#Totals],[個人／事業所数]]/LTBL_28216[[#Totals],[総数／事業所数]]</f>
        <v>0.64658418504572346</v>
      </c>
      <c r="G21" s="11">
        <f>LTBL_28216[[#Totals],[法人／事業所数]]/LTBL_28216[[#Totals],[総数／事業所数]]</f>
        <v>0.35341581495427649</v>
      </c>
      <c r="I21" s="11">
        <f>LTBL_28216[[#Totals],[法人以外の団体／事業所数]]/LTBL_28216[[#Totals],[総数／事業所数]]</f>
        <v>0</v>
      </c>
    </row>
    <row r="23" spans="2:9" ht="33" customHeight="1" x14ac:dyDescent="0.15">
      <c r="B23" t="s">
        <v>214</v>
      </c>
      <c r="C23" s="10" t="s">
        <v>67</v>
      </c>
      <c r="D23" s="10" t="s">
        <v>221</v>
      </c>
      <c r="E23" s="10" t="s">
        <v>69</v>
      </c>
      <c r="F23" s="10" t="s">
        <v>247</v>
      </c>
      <c r="G23" s="10" t="s">
        <v>71</v>
      </c>
      <c r="H23" s="10" t="s">
        <v>316</v>
      </c>
      <c r="I23" s="10" t="s">
        <v>73</v>
      </c>
    </row>
    <row r="24" spans="2:9" ht="15" customHeight="1" x14ac:dyDescent="0.15">
      <c r="B24" t="s">
        <v>217</v>
      </c>
      <c r="C24">
        <v>2</v>
      </c>
      <c r="D24" t="s">
        <v>216</v>
      </c>
      <c r="E24">
        <v>0</v>
      </c>
      <c r="F24" t="s">
        <v>218</v>
      </c>
      <c r="G24">
        <v>2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1</v>
      </c>
      <c r="D25" t="s">
        <v>216</v>
      </c>
      <c r="E25">
        <v>0</v>
      </c>
      <c r="F25" t="s">
        <v>218</v>
      </c>
      <c r="G25">
        <v>1</v>
      </c>
      <c r="H25" t="s">
        <v>219</v>
      </c>
      <c r="I25">
        <v>0</v>
      </c>
    </row>
    <row r="28" spans="2:9" ht="33" customHeight="1" x14ac:dyDescent="0.15">
      <c r="B28" t="s">
        <v>293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89</v>
      </c>
      <c r="C29" s="12">
        <v>297</v>
      </c>
      <c r="D29" s="8">
        <v>15.98</v>
      </c>
      <c r="E29" s="12">
        <v>288</v>
      </c>
      <c r="F29" s="8">
        <v>23.96</v>
      </c>
      <c r="G29" s="12">
        <v>9</v>
      </c>
      <c r="H29" s="8">
        <v>1.37</v>
      </c>
      <c r="I29" s="12">
        <v>0</v>
      </c>
    </row>
    <row r="30" spans="2:9" ht="15" customHeight="1" x14ac:dyDescent="0.15">
      <c r="B30" t="s">
        <v>90</v>
      </c>
      <c r="C30" s="12">
        <v>209</v>
      </c>
      <c r="D30" s="8">
        <v>11.24</v>
      </c>
      <c r="E30" s="12">
        <v>186</v>
      </c>
      <c r="F30" s="8">
        <v>15.47</v>
      </c>
      <c r="G30" s="12">
        <v>23</v>
      </c>
      <c r="H30" s="8">
        <v>3.5</v>
      </c>
      <c r="I30" s="12">
        <v>0</v>
      </c>
    </row>
    <row r="31" spans="2:9" ht="15" customHeight="1" x14ac:dyDescent="0.15">
      <c r="B31" t="s">
        <v>84</v>
      </c>
      <c r="C31" s="12">
        <v>133</v>
      </c>
      <c r="D31" s="8">
        <v>7.15</v>
      </c>
      <c r="E31" s="12">
        <v>80</v>
      </c>
      <c r="F31" s="8">
        <v>6.66</v>
      </c>
      <c r="G31" s="12">
        <v>53</v>
      </c>
      <c r="H31" s="8">
        <v>8.07</v>
      </c>
      <c r="I31" s="12">
        <v>0</v>
      </c>
    </row>
    <row r="32" spans="2:9" ht="15" customHeight="1" x14ac:dyDescent="0.15">
      <c r="B32" t="s">
        <v>74</v>
      </c>
      <c r="C32" s="12">
        <v>117</v>
      </c>
      <c r="D32" s="8">
        <v>6.29</v>
      </c>
      <c r="E32" s="12">
        <v>32</v>
      </c>
      <c r="F32" s="8">
        <v>2.66</v>
      </c>
      <c r="G32" s="12">
        <v>85</v>
      </c>
      <c r="H32" s="8">
        <v>12.94</v>
      </c>
      <c r="I32" s="12">
        <v>0</v>
      </c>
    </row>
    <row r="33" spans="2:9" ht="15" customHeight="1" x14ac:dyDescent="0.15">
      <c r="B33" t="s">
        <v>82</v>
      </c>
      <c r="C33" s="12">
        <v>104</v>
      </c>
      <c r="D33" s="8">
        <v>5.59</v>
      </c>
      <c r="E33" s="12">
        <v>82</v>
      </c>
      <c r="F33" s="8">
        <v>6.82</v>
      </c>
      <c r="G33" s="12">
        <v>22</v>
      </c>
      <c r="H33" s="8">
        <v>3.35</v>
      </c>
      <c r="I33" s="12">
        <v>0</v>
      </c>
    </row>
    <row r="34" spans="2:9" ht="15" customHeight="1" x14ac:dyDescent="0.15">
      <c r="B34" t="s">
        <v>92</v>
      </c>
      <c r="C34" s="12">
        <v>95</v>
      </c>
      <c r="D34" s="8">
        <v>5.1100000000000003</v>
      </c>
      <c r="E34" s="12">
        <v>77</v>
      </c>
      <c r="F34" s="8">
        <v>6.41</v>
      </c>
      <c r="G34" s="12">
        <v>18</v>
      </c>
      <c r="H34" s="8">
        <v>2.74</v>
      </c>
      <c r="I34" s="12">
        <v>0</v>
      </c>
    </row>
    <row r="35" spans="2:9" ht="15" customHeight="1" x14ac:dyDescent="0.15">
      <c r="B35" t="s">
        <v>76</v>
      </c>
      <c r="C35" s="12">
        <v>91</v>
      </c>
      <c r="D35" s="8">
        <v>4.9000000000000004</v>
      </c>
      <c r="E35" s="12">
        <v>28</v>
      </c>
      <c r="F35" s="8">
        <v>2.33</v>
      </c>
      <c r="G35" s="12">
        <v>63</v>
      </c>
      <c r="H35" s="8">
        <v>9.59</v>
      </c>
      <c r="I35" s="12">
        <v>0</v>
      </c>
    </row>
    <row r="36" spans="2:9" ht="15" customHeight="1" x14ac:dyDescent="0.15">
      <c r="B36" t="s">
        <v>86</v>
      </c>
      <c r="C36" s="12">
        <v>88</v>
      </c>
      <c r="D36" s="8">
        <v>4.7300000000000004</v>
      </c>
      <c r="E36" s="12">
        <v>53</v>
      </c>
      <c r="F36" s="8">
        <v>4.41</v>
      </c>
      <c r="G36" s="12">
        <v>35</v>
      </c>
      <c r="H36" s="8">
        <v>5.33</v>
      </c>
      <c r="I36" s="12">
        <v>0</v>
      </c>
    </row>
    <row r="37" spans="2:9" ht="15" customHeight="1" x14ac:dyDescent="0.15">
      <c r="B37" t="s">
        <v>75</v>
      </c>
      <c r="C37" s="12">
        <v>83</v>
      </c>
      <c r="D37" s="8">
        <v>4.46</v>
      </c>
      <c r="E37" s="12">
        <v>44</v>
      </c>
      <c r="F37" s="8">
        <v>3.66</v>
      </c>
      <c r="G37" s="12">
        <v>39</v>
      </c>
      <c r="H37" s="8">
        <v>5.94</v>
      </c>
      <c r="I37" s="12">
        <v>0</v>
      </c>
    </row>
    <row r="38" spans="2:9" ht="15" customHeight="1" x14ac:dyDescent="0.15">
      <c r="B38" t="s">
        <v>81</v>
      </c>
      <c r="C38" s="12">
        <v>60</v>
      </c>
      <c r="D38" s="8">
        <v>3.23</v>
      </c>
      <c r="E38" s="12">
        <v>45</v>
      </c>
      <c r="F38" s="8">
        <v>3.74</v>
      </c>
      <c r="G38" s="12">
        <v>15</v>
      </c>
      <c r="H38" s="8">
        <v>2.2799999999999998</v>
      </c>
      <c r="I38" s="12">
        <v>0</v>
      </c>
    </row>
    <row r="39" spans="2:9" ht="15" customHeight="1" x14ac:dyDescent="0.15">
      <c r="B39" t="s">
        <v>83</v>
      </c>
      <c r="C39" s="12">
        <v>55</v>
      </c>
      <c r="D39" s="8">
        <v>2.96</v>
      </c>
      <c r="E39" s="12">
        <v>35</v>
      </c>
      <c r="F39" s="8">
        <v>2.91</v>
      </c>
      <c r="G39" s="12">
        <v>20</v>
      </c>
      <c r="H39" s="8">
        <v>3.04</v>
      </c>
      <c r="I39" s="12">
        <v>0</v>
      </c>
    </row>
    <row r="40" spans="2:9" ht="15" customHeight="1" x14ac:dyDescent="0.15">
      <c r="B40" t="s">
        <v>93</v>
      </c>
      <c r="C40" s="12">
        <v>55</v>
      </c>
      <c r="D40" s="8">
        <v>2.96</v>
      </c>
      <c r="E40" s="12">
        <v>50</v>
      </c>
      <c r="F40" s="8">
        <v>4.16</v>
      </c>
      <c r="G40" s="12">
        <v>5</v>
      </c>
      <c r="H40" s="8">
        <v>0.76</v>
      </c>
      <c r="I40" s="12">
        <v>0</v>
      </c>
    </row>
    <row r="41" spans="2:9" ht="15" customHeight="1" x14ac:dyDescent="0.15">
      <c r="B41" t="s">
        <v>87</v>
      </c>
      <c r="C41" s="12">
        <v>40</v>
      </c>
      <c r="D41" s="8">
        <v>2.15</v>
      </c>
      <c r="E41" s="12">
        <v>35</v>
      </c>
      <c r="F41" s="8">
        <v>2.91</v>
      </c>
      <c r="G41" s="12">
        <v>5</v>
      </c>
      <c r="H41" s="8">
        <v>0.76</v>
      </c>
      <c r="I41" s="12">
        <v>0</v>
      </c>
    </row>
    <row r="42" spans="2:9" ht="15" customHeight="1" x14ac:dyDescent="0.15">
      <c r="B42" t="s">
        <v>88</v>
      </c>
      <c r="C42" s="12">
        <v>36</v>
      </c>
      <c r="D42" s="8">
        <v>1.94</v>
      </c>
      <c r="E42" s="12">
        <v>18</v>
      </c>
      <c r="F42" s="8">
        <v>1.5</v>
      </c>
      <c r="G42" s="12">
        <v>18</v>
      </c>
      <c r="H42" s="8">
        <v>2.74</v>
      </c>
      <c r="I42" s="12">
        <v>0</v>
      </c>
    </row>
    <row r="43" spans="2:9" ht="15" customHeight="1" x14ac:dyDescent="0.15">
      <c r="B43" t="s">
        <v>78</v>
      </c>
      <c r="C43" s="12">
        <v>31</v>
      </c>
      <c r="D43" s="8">
        <v>1.67</v>
      </c>
      <c r="E43" s="12">
        <v>7</v>
      </c>
      <c r="F43" s="8">
        <v>0.57999999999999996</v>
      </c>
      <c r="G43" s="12">
        <v>24</v>
      </c>
      <c r="H43" s="8">
        <v>3.65</v>
      </c>
      <c r="I43" s="12">
        <v>0</v>
      </c>
    </row>
    <row r="44" spans="2:9" ht="15" customHeight="1" x14ac:dyDescent="0.15">
      <c r="B44" t="s">
        <v>91</v>
      </c>
      <c r="C44" s="12">
        <v>29</v>
      </c>
      <c r="D44" s="8">
        <v>1.56</v>
      </c>
      <c r="E44" s="12">
        <v>19</v>
      </c>
      <c r="F44" s="8">
        <v>1.58</v>
      </c>
      <c r="G44" s="12">
        <v>10</v>
      </c>
      <c r="H44" s="8">
        <v>1.52</v>
      </c>
      <c r="I44" s="12">
        <v>0</v>
      </c>
    </row>
    <row r="45" spans="2:9" ht="15" customHeight="1" x14ac:dyDescent="0.15">
      <c r="B45" t="s">
        <v>105</v>
      </c>
      <c r="C45" s="12">
        <v>19</v>
      </c>
      <c r="D45" s="8">
        <v>1.02</v>
      </c>
      <c r="E45" s="12">
        <v>3</v>
      </c>
      <c r="F45" s="8">
        <v>0.25</v>
      </c>
      <c r="G45" s="12">
        <v>16</v>
      </c>
      <c r="H45" s="8">
        <v>2.44</v>
      </c>
      <c r="I45" s="12">
        <v>0</v>
      </c>
    </row>
    <row r="46" spans="2:9" ht="15" customHeight="1" x14ac:dyDescent="0.15">
      <c r="B46" t="s">
        <v>77</v>
      </c>
      <c r="C46" s="12">
        <v>18</v>
      </c>
      <c r="D46" s="8">
        <v>0.97</v>
      </c>
      <c r="E46" s="12">
        <v>7</v>
      </c>
      <c r="F46" s="8">
        <v>0.57999999999999996</v>
      </c>
      <c r="G46" s="12">
        <v>11</v>
      </c>
      <c r="H46" s="8">
        <v>1.67</v>
      </c>
      <c r="I46" s="12">
        <v>0</v>
      </c>
    </row>
    <row r="47" spans="2:9" ht="15" customHeight="1" x14ac:dyDescent="0.15">
      <c r="B47" t="s">
        <v>85</v>
      </c>
      <c r="C47" s="12">
        <v>18</v>
      </c>
      <c r="D47" s="8">
        <v>0.97</v>
      </c>
      <c r="E47" s="12">
        <v>9</v>
      </c>
      <c r="F47" s="8">
        <v>0.75</v>
      </c>
      <c r="G47" s="12">
        <v>9</v>
      </c>
      <c r="H47" s="8">
        <v>1.37</v>
      </c>
      <c r="I47" s="12">
        <v>0</v>
      </c>
    </row>
    <row r="48" spans="2:9" ht="15" customHeight="1" x14ac:dyDescent="0.15">
      <c r="B48" t="s">
        <v>101</v>
      </c>
      <c r="C48" s="12">
        <v>15</v>
      </c>
      <c r="D48" s="8">
        <v>0.81</v>
      </c>
      <c r="E48" s="12">
        <v>2</v>
      </c>
      <c r="F48" s="8">
        <v>0.17</v>
      </c>
      <c r="G48" s="12">
        <v>13</v>
      </c>
      <c r="H48" s="8">
        <v>1.98</v>
      </c>
      <c r="I48" s="12">
        <v>0</v>
      </c>
    </row>
    <row r="49" spans="2:9" ht="15" customHeight="1" x14ac:dyDescent="0.15">
      <c r="B49" t="s">
        <v>114</v>
      </c>
      <c r="C49" s="12">
        <v>15</v>
      </c>
      <c r="D49" s="8">
        <v>0.81</v>
      </c>
      <c r="E49" s="12">
        <v>7</v>
      </c>
      <c r="F49" s="8">
        <v>0.57999999999999996</v>
      </c>
      <c r="G49" s="12">
        <v>8</v>
      </c>
      <c r="H49" s="8">
        <v>1.22</v>
      </c>
      <c r="I49" s="12">
        <v>0</v>
      </c>
    </row>
    <row r="52" spans="2:9" ht="33" customHeight="1" x14ac:dyDescent="0.15">
      <c r="B52" t="s">
        <v>244</v>
      </c>
      <c r="C52" s="10" t="s">
        <v>67</v>
      </c>
      <c r="D52" s="10" t="s">
        <v>68</v>
      </c>
      <c r="E52" s="10" t="s">
        <v>69</v>
      </c>
      <c r="F52" s="10" t="s">
        <v>70</v>
      </c>
      <c r="G52" s="10" t="s">
        <v>71</v>
      </c>
      <c r="H52" s="10" t="s">
        <v>72</v>
      </c>
      <c r="I52" s="10" t="s">
        <v>73</v>
      </c>
    </row>
    <row r="53" spans="2:9" ht="15" customHeight="1" x14ac:dyDescent="0.15">
      <c r="B53" t="s">
        <v>141</v>
      </c>
      <c r="C53" s="12">
        <v>98</v>
      </c>
      <c r="D53" s="8">
        <v>5.27</v>
      </c>
      <c r="E53" s="12">
        <v>95</v>
      </c>
      <c r="F53" s="8">
        <v>7.9</v>
      </c>
      <c r="G53" s="12">
        <v>3</v>
      </c>
      <c r="H53" s="8">
        <v>0.46</v>
      </c>
      <c r="I53" s="12">
        <v>0</v>
      </c>
    </row>
    <row r="54" spans="2:9" ht="15" customHeight="1" x14ac:dyDescent="0.15">
      <c r="B54" t="s">
        <v>138</v>
      </c>
      <c r="C54" s="12">
        <v>83</v>
      </c>
      <c r="D54" s="8">
        <v>4.46</v>
      </c>
      <c r="E54" s="12">
        <v>83</v>
      </c>
      <c r="F54" s="8">
        <v>6.91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140</v>
      </c>
      <c r="C55" s="12">
        <v>64</v>
      </c>
      <c r="D55" s="8">
        <v>3.44</v>
      </c>
      <c r="E55" s="12">
        <v>62</v>
      </c>
      <c r="F55" s="8">
        <v>5.16</v>
      </c>
      <c r="G55" s="12">
        <v>2</v>
      </c>
      <c r="H55" s="8">
        <v>0.3</v>
      </c>
      <c r="I55" s="12">
        <v>0</v>
      </c>
    </row>
    <row r="56" spans="2:9" ht="15" customHeight="1" x14ac:dyDescent="0.15">
      <c r="B56" t="s">
        <v>136</v>
      </c>
      <c r="C56" s="12">
        <v>61</v>
      </c>
      <c r="D56" s="8">
        <v>3.28</v>
      </c>
      <c r="E56" s="12">
        <v>61</v>
      </c>
      <c r="F56" s="8">
        <v>5.07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143</v>
      </c>
      <c r="C57" s="12">
        <v>61</v>
      </c>
      <c r="D57" s="8">
        <v>3.28</v>
      </c>
      <c r="E57" s="12">
        <v>51</v>
      </c>
      <c r="F57" s="8">
        <v>4.24</v>
      </c>
      <c r="G57" s="12">
        <v>10</v>
      </c>
      <c r="H57" s="8">
        <v>1.52</v>
      </c>
      <c r="I57" s="12">
        <v>0</v>
      </c>
    </row>
    <row r="58" spans="2:9" ht="15" customHeight="1" x14ac:dyDescent="0.15">
      <c r="B58" t="s">
        <v>137</v>
      </c>
      <c r="C58" s="12">
        <v>50</v>
      </c>
      <c r="D58" s="8">
        <v>2.69</v>
      </c>
      <c r="E58" s="12">
        <v>50</v>
      </c>
      <c r="F58" s="8">
        <v>4.16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144</v>
      </c>
      <c r="C59" s="12">
        <v>46</v>
      </c>
      <c r="D59" s="8">
        <v>2.4700000000000002</v>
      </c>
      <c r="E59" s="12">
        <v>41</v>
      </c>
      <c r="F59" s="8">
        <v>3.41</v>
      </c>
      <c r="G59" s="12">
        <v>5</v>
      </c>
      <c r="H59" s="8">
        <v>0.76</v>
      </c>
      <c r="I59" s="12">
        <v>0</v>
      </c>
    </row>
    <row r="60" spans="2:9" ht="15" customHeight="1" x14ac:dyDescent="0.15">
      <c r="B60" t="s">
        <v>125</v>
      </c>
      <c r="C60" s="12">
        <v>44</v>
      </c>
      <c r="D60" s="8">
        <v>2.37</v>
      </c>
      <c r="E60" s="12">
        <v>9</v>
      </c>
      <c r="F60" s="8">
        <v>0.75</v>
      </c>
      <c r="G60" s="12">
        <v>35</v>
      </c>
      <c r="H60" s="8">
        <v>5.33</v>
      </c>
      <c r="I60" s="12">
        <v>0</v>
      </c>
    </row>
    <row r="61" spans="2:9" ht="15" customHeight="1" x14ac:dyDescent="0.15">
      <c r="B61" t="s">
        <v>132</v>
      </c>
      <c r="C61" s="12">
        <v>44</v>
      </c>
      <c r="D61" s="8">
        <v>2.37</v>
      </c>
      <c r="E61" s="12">
        <v>35</v>
      </c>
      <c r="F61" s="8">
        <v>2.91</v>
      </c>
      <c r="G61" s="12">
        <v>9</v>
      </c>
      <c r="H61" s="8">
        <v>1.37</v>
      </c>
      <c r="I61" s="12">
        <v>0</v>
      </c>
    </row>
    <row r="62" spans="2:9" ht="15" customHeight="1" x14ac:dyDescent="0.15">
      <c r="B62" t="s">
        <v>151</v>
      </c>
      <c r="C62" s="12">
        <v>40</v>
      </c>
      <c r="D62" s="8">
        <v>2.15</v>
      </c>
      <c r="E62" s="12">
        <v>37</v>
      </c>
      <c r="F62" s="8">
        <v>3.08</v>
      </c>
      <c r="G62" s="12">
        <v>3</v>
      </c>
      <c r="H62" s="8">
        <v>0.46</v>
      </c>
      <c r="I62" s="12">
        <v>0</v>
      </c>
    </row>
    <row r="63" spans="2:9" ht="15" customHeight="1" x14ac:dyDescent="0.15">
      <c r="B63" t="s">
        <v>134</v>
      </c>
      <c r="C63" s="12">
        <v>38</v>
      </c>
      <c r="D63" s="8">
        <v>2.04</v>
      </c>
      <c r="E63" s="12">
        <v>26</v>
      </c>
      <c r="F63" s="8">
        <v>2.16</v>
      </c>
      <c r="G63" s="12">
        <v>12</v>
      </c>
      <c r="H63" s="8">
        <v>1.83</v>
      </c>
      <c r="I63" s="12">
        <v>0</v>
      </c>
    </row>
    <row r="64" spans="2:9" ht="15" customHeight="1" x14ac:dyDescent="0.15">
      <c r="B64" t="s">
        <v>135</v>
      </c>
      <c r="C64" s="12">
        <v>36</v>
      </c>
      <c r="D64" s="8">
        <v>1.94</v>
      </c>
      <c r="E64" s="12">
        <v>34</v>
      </c>
      <c r="F64" s="8">
        <v>2.83</v>
      </c>
      <c r="G64" s="12">
        <v>2</v>
      </c>
      <c r="H64" s="8">
        <v>0.3</v>
      </c>
      <c r="I64" s="12">
        <v>0</v>
      </c>
    </row>
    <row r="65" spans="2:9" ht="15" customHeight="1" x14ac:dyDescent="0.15">
      <c r="B65" t="s">
        <v>139</v>
      </c>
      <c r="C65" s="12">
        <v>34</v>
      </c>
      <c r="D65" s="8">
        <v>1.83</v>
      </c>
      <c r="E65" s="12">
        <v>18</v>
      </c>
      <c r="F65" s="8">
        <v>1.5</v>
      </c>
      <c r="G65" s="12">
        <v>16</v>
      </c>
      <c r="H65" s="8">
        <v>2.44</v>
      </c>
      <c r="I65" s="12">
        <v>0</v>
      </c>
    </row>
    <row r="66" spans="2:9" ht="15" customHeight="1" x14ac:dyDescent="0.15">
      <c r="B66" t="s">
        <v>127</v>
      </c>
      <c r="C66" s="12">
        <v>33</v>
      </c>
      <c r="D66" s="8">
        <v>1.78</v>
      </c>
      <c r="E66" s="12">
        <v>13</v>
      </c>
      <c r="F66" s="8">
        <v>1.08</v>
      </c>
      <c r="G66" s="12">
        <v>20</v>
      </c>
      <c r="H66" s="8">
        <v>3.04</v>
      </c>
      <c r="I66" s="12">
        <v>0</v>
      </c>
    </row>
    <row r="67" spans="2:9" ht="15" customHeight="1" x14ac:dyDescent="0.15">
      <c r="B67" t="s">
        <v>129</v>
      </c>
      <c r="C67" s="12">
        <v>33</v>
      </c>
      <c r="D67" s="8">
        <v>1.78</v>
      </c>
      <c r="E67" s="12">
        <v>26</v>
      </c>
      <c r="F67" s="8">
        <v>2.16</v>
      </c>
      <c r="G67" s="12">
        <v>7</v>
      </c>
      <c r="H67" s="8">
        <v>1.07</v>
      </c>
      <c r="I67" s="12">
        <v>0</v>
      </c>
    </row>
    <row r="68" spans="2:9" ht="15" customHeight="1" x14ac:dyDescent="0.15">
      <c r="B68" t="s">
        <v>142</v>
      </c>
      <c r="C68" s="12">
        <v>32</v>
      </c>
      <c r="D68" s="8">
        <v>1.72</v>
      </c>
      <c r="E68" s="12">
        <v>26</v>
      </c>
      <c r="F68" s="8">
        <v>2.16</v>
      </c>
      <c r="G68" s="12">
        <v>6</v>
      </c>
      <c r="H68" s="8">
        <v>0.91</v>
      </c>
      <c r="I68" s="12">
        <v>0</v>
      </c>
    </row>
    <row r="69" spans="2:9" ht="15" customHeight="1" x14ac:dyDescent="0.15">
      <c r="B69" t="s">
        <v>160</v>
      </c>
      <c r="C69" s="12">
        <v>31</v>
      </c>
      <c r="D69" s="8">
        <v>1.67</v>
      </c>
      <c r="E69" s="12">
        <v>12</v>
      </c>
      <c r="F69" s="8">
        <v>1</v>
      </c>
      <c r="G69" s="12">
        <v>19</v>
      </c>
      <c r="H69" s="8">
        <v>2.89</v>
      </c>
      <c r="I69" s="12">
        <v>0</v>
      </c>
    </row>
    <row r="70" spans="2:9" ht="15" customHeight="1" x14ac:dyDescent="0.15">
      <c r="B70" t="s">
        <v>146</v>
      </c>
      <c r="C70" s="12">
        <v>31</v>
      </c>
      <c r="D70" s="8">
        <v>1.67</v>
      </c>
      <c r="E70" s="12">
        <v>25</v>
      </c>
      <c r="F70" s="8">
        <v>2.08</v>
      </c>
      <c r="G70" s="12">
        <v>6</v>
      </c>
      <c r="H70" s="8">
        <v>0.91</v>
      </c>
      <c r="I70" s="12">
        <v>0</v>
      </c>
    </row>
    <row r="71" spans="2:9" ht="15" customHeight="1" x14ac:dyDescent="0.15">
      <c r="B71" t="s">
        <v>131</v>
      </c>
      <c r="C71" s="12">
        <v>29</v>
      </c>
      <c r="D71" s="8">
        <v>1.56</v>
      </c>
      <c r="E71" s="12">
        <v>13</v>
      </c>
      <c r="F71" s="8">
        <v>1.08</v>
      </c>
      <c r="G71" s="12">
        <v>16</v>
      </c>
      <c r="H71" s="8">
        <v>2.44</v>
      </c>
      <c r="I71" s="12">
        <v>0</v>
      </c>
    </row>
    <row r="72" spans="2:9" ht="15" customHeight="1" x14ac:dyDescent="0.15">
      <c r="B72" t="s">
        <v>148</v>
      </c>
      <c r="C72" s="12">
        <v>29</v>
      </c>
      <c r="D72" s="8">
        <v>1.56</v>
      </c>
      <c r="E72" s="12">
        <v>25</v>
      </c>
      <c r="F72" s="8">
        <v>2.08</v>
      </c>
      <c r="G72" s="12">
        <v>4</v>
      </c>
      <c r="H72" s="8">
        <v>0.61</v>
      </c>
      <c r="I72" s="12">
        <v>0</v>
      </c>
    </row>
    <row r="74" spans="2:9" ht="15" customHeight="1" x14ac:dyDescent="0.15">
      <c r="B74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317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256</v>
      </c>
      <c r="D6" s="8">
        <v>10.74</v>
      </c>
      <c r="E6" s="12">
        <v>70</v>
      </c>
      <c r="F6" s="8">
        <v>5.18</v>
      </c>
      <c r="G6" s="12">
        <v>186</v>
      </c>
      <c r="H6" s="8">
        <v>18.11</v>
      </c>
      <c r="I6" s="12">
        <v>0</v>
      </c>
    </row>
    <row r="7" spans="2:9" ht="15" customHeight="1" x14ac:dyDescent="0.15">
      <c r="B7" t="s">
        <v>53</v>
      </c>
      <c r="C7" s="12">
        <v>157</v>
      </c>
      <c r="D7" s="8">
        <v>6.59</v>
      </c>
      <c r="E7" s="12">
        <v>52</v>
      </c>
      <c r="F7" s="8">
        <v>3.85</v>
      </c>
      <c r="G7" s="12">
        <v>105</v>
      </c>
      <c r="H7" s="8">
        <v>10.220000000000001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17</v>
      </c>
      <c r="D9" s="8">
        <v>0.71</v>
      </c>
      <c r="E9" s="12">
        <v>4</v>
      </c>
      <c r="F9" s="8">
        <v>0.3</v>
      </c>
      <c r="G9" s="12">
        <v>13</v>
      </c>
      <c r="H9" s="8">
        <v>1.27</v>
      </c>
      <c r="I9" s="12">
        <v>0</v>
      </c>
    </row>
    <row r="10" spans="2:9" ht="15" customHeight="1" x14ac:dyDescent="0.15">
      <c r="B10" t="s">
        <v>56</v>
      </c>
      <c r="C10" s="12">
        <v>18</v>
      </c>
      <c r="D10" s="8">
        <v>0.76</v>
      </c>
      <c r="E10" s="12">
        <v>7</v>
      </c>
      <c r="F10" s="8">
        <v>0.52</v>
      </c>
      <c r="G10" s="12">
        <v>11</v>
      </c>
      <c r="H10" s="8">
        <v>1.07</v>
      </c>
      <c r="I10" s="12">
        <v>0</v>
      </c>
    </row>
    <row r="11" spans="2:9" ht="15" customHeight="1" x14ac:dyDescent="0.15">
      <c r="B11" t="s">
        <v>57</v>
      </c>
      <c r="C11" s="12">
        <v>602</v>
      </c>
      <c r="D11" s="8">
        <v>25.25</v>
      </c>
      <c r="E11" s="12">
        <v>326</v>
      </c>
      <c r="F11" s="8">
        <v>24.13</v>
      </c>
      <c r="G11" s="12">
        <v>274</v>
      </c>
      <c r="H11" s="8">
        <v>26.68</v>
      </c>
      <c r="I11" s="12">
        <v>2</v>
      </c>
    </row>
    <row r="12" spans="2:9" ht="15" customHeight="1" x14ac:dyDescent="0.15">
      <c r="B12" t="s">
        <v>58</v>
      </c>
      <c r="C12" s="12">
        <v>16</v>
      </c>
      <c r="D12" s="8">
        <v>0.67</v>
      </c>
      <c r="E12" s="12">
        <v>2</v>
      </c>
      <c r="F12" s="8">
        <v>0.15</v>
      </c>
      <c r="G12" s="12">
        <v>14</v>
      </c>
      <c r="H12" s="8">
        <v>1.36</v>
      </c>
      <c r="I12" s="12">
        <v>0</v>
      </c>
    </row>
    <row r="13" spans="2:9" ht="15" customHeight="1" x14ac:dyDescent="0.15">
      <c r="B13" t="s">
        <v>59</v>
      </c>
      <c r="C13" s="12">
        <v>282</v>
      </c>
      <c r="D13" s="8">
        <v>11.83</v>
      </c>
      <c r="E13" s="12">
        <v>109</v>
      </c>
      <c r="F13" s="8">
        <v>8.07</v>
      </c>
      <c r="G13" s="12">
        <v>172</v>
      </c>
      <c r="H13" s="8">
        <v>16.75</v>
      </c>
      <c r="I13" s="12">
        <v>1</v>
      </c>
    </row>
    <row r="14" spans="2:9" ht="15" customHeight="1" x14ac:dyDescent="0.15">
      <c r="B14" t="s">
        <v>60</v>
      </c>
      <c r="C14" s="12">
        <v>110</v>
      </c>
      <c r="D14" s="8">
        <v>4.6100000000000003</v>
      </c>
      <c r="E14" s="12">
        <v>73</v>
      </c>
      <c r="F14" s="8">
        <v>5.4</v>
      </c>
      <c r="G14" s="12">
        <v>37</v>
      </c>
      <c r="H14" s="8">
        <v>3.6</v>
      </c>
      <c r="I14" s="12">
        <v>0</v>
      </c>
    </row>
    <row r="15" spans="2:9" ht="15" customHeight="1" x14ac:dyDescent="0.15">
      <c r="B15" t="s">
        <v>61</v>
      </c>
      <c r="C15" s="12">
        <v>285</v>
      </c>
      <c r="D15" s="8">
        <v>11.95</v>
      </c>
      <c r="E15" s="12">
        <v>255</v>
      </c>
      <c r="F15" s="8">
        <v>18.87</v>
      </c>
      <c r="G15" s="12">
        <v>30</v>
      </c>
      <c r="H15" s="8">
        <v>2.92</v>
      </c>
      <c r="I15" s="12">
        <v>0</v>
      </c>
    </row>
    <row r="16" spans="2:9" ht="15" customHeight="1" x14ac:dyDescent="0.15">
      <c r="B16" t="s">
        <v>62</v>
      </c>
      <c r="C16" s="12">
        <v>327</v>
      </c>
      <c r="D16" s="8">
        <v>13.72</v>
      </c>
      <c r="E16" s="12">
        <v>250</v>
      </c>
      <c r="F16" s="8">
        <v>18.5</v>
      </c>
      <c r="G16" s="12">
        <v>77</v>
      </c>
      <c r="H16" s="8">
        <v>7.5</v>
      </c>
      <c r="I16" s="12">
        <v>0</v>
      </c>
    </row>
    <row r="17" spans="2:9" ht="15" customHeight="1" x14ac:dyDescent="0.15">
      <c r="B17" t="s">
        <v>63</v>
      </c>
      <c r="C17" s="12">
        <v>146</v>
      </c>
      <c r="D17" s="8">
        <v>6.12</v>
      </c>
      <c r="E17" s="12">
        <v>104</v>
      </c>
      <c r="F17" s="8">
        <v>7.7</v>
      </c>
      <c r="G17" s="12">
        <v>41</v>
      </c>
      <c r="H17" s="8">
        <v>3.99</v>
      </c>
      <c r="I17" s="12">
        <v>1</v>
      </c>
    </row>
    <row r="18" spans="2:9" ht="15" customHeight="1" x14ac:dyDescent="0.15">
      <c r="B18" t="s">
        <v>64</v>
      </c>
      <c r="C18" s="12">
        <v>98</v>
      </c>
      <c r="D18" s="8">
        <v>4.1100000000000003</v>
      </c>
      <c r="E18" s="12">
        <v>69</v>
      </c>
      <c r="F18" s="8">
        <v>5.1100000000000003</v>
      </c>
      <c r="G18" s="12">
        <v>29</v>
      </c>
      <c r="H18" s="8">
        <v>2.82</v>
      </c>
      <c r="I18" s="12">
        <v>0</v>
      </c>
    </row>
    <row r="19" spans="2:9" ht="15" customHeight="1" x14ac:dyDescent="0.15">
      <c r="B19" t="s">
        <v>65</v>
      </c>
      <c r="C19" s="12">
        <v>70</v>
      </c>
      <c r="D19" s="8">
        <v>2.94</v>
      </c>
      <c r="E19" s="12">
        <v>30</v>
      </c>
      <c r="F19" s="8">
        <v>2.2200000000000002</v>
      </c>
      <c r="G19" s="12">
        <v>38</v>
      </c>
      <c r="H19" s="8">
        <v>3.7</v>
      </c>
      <c r="I19" s="12">
        <v>2</v>
      </c>
    </row>
    <row r="20" spans="2:9" ht="15" customHeight="1" x14ac:dyDescent="0.15">
      <c r="B20" s="9" t="s">
        <v>215</v>
      </c>
      <c r="C20" s="12">
        <f>SUM(LTBL_28217[総数／事業所数])</f>
        <v>2384</v>
      </c>
      <c r="E20" s="12">
        <f>SUBTOTAL(109,LTBL_28217[個人／事業所数])</f>
        <v>1351</v>
      </c>
      <c r="G20" s="12">
        <f>SUBTOTAL(109,LTBL_28217[法人／事業所数])</f>
        <v>1027</v>
      </c>
      <c r="I20" s="12">
        <f>SUBTOTAL(109,LTBL_28217[法人以外の団体／事業所数])</f>
        <v>6</v>
      </c>
    </row>
    <row r="21" spans="2:9" ht="15" customHeight="1" x14ac:dyDescent="0.15">
      <c r="E21" s="11">
        <f>LTBL_28217[[#Totals],[個人／事業所数]]/LTBL_28217[[#Totals],[総数／事業所数]]</f>
        <v>0.56669463087248317</v>
      </c>
      <c r="G21" s="11">
        <f>LTBL_28217[[#Totals],[法人／事業所数]]/LTBL_28217[[#Totals],[総数／事業所数]]</f>
        <v>0.43078859060402686</v>
      </c>
      <c r="I21" s="11">
        <f>LTBL_28217[[#Totals],[法人以外の団体／事業所数]]/LTBL_28217[[#Totals],[総数／事業所数]]</f>
        <v>2.5167785234899327E-3</v>
      </c>
    </row>
    <row r="23" spans="2:9" ht="33" customHeight="1" x14ac:dyDescent="0.15">
      <c r="B23" t="s">
        <v>214</v>
      </c>
      <c r="C23" s="10" t="s">
        <v>67</v>
      </c>
      <c r="D23" s="10" t="s">
        <v>221</v>
      </c>
      <c r="E23" s="10" t="s">
        <v>69</v>
      </c>
      <c r="F23" s="10" t="s">
        <v>222</v>
      </c>
      <c r="G23" s="10" t="s">
        <v>71</v>
      </c>
      <c r="H23" s="10" t="s">
        <v>318</v>
      </c>
      <c r="I23" s="10" t="s">
        <v>73</v>
      </c>
    </row>
    <row r="24" spans="2:9" ht="15" customHeight="1" x14ac:dyDescent="0.15">
      <c r="B24" t="s">
        <v>217</v>
      </c>
      <c r="C24">
        <v>1</v>
      </c>
      <c r="D24" t="s">
        <v>216</v>
      </c>
      <c r="E24">
        <v>0</v>
      </c>
      <c r="F24" t="s">
        <v>218</v>
      </c>
      <c r="G24">
        <v>1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319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89</v>
      </c>
      <c r="C29" s="12">
        <v>268</v>
      </c>
      <c r="D29" s="8">
        <v>11.24</v>
      </c>
      <c r="E29" s="12">
        <v>248</v>
      </c>
      <c r="F29" s="8">
        <v>18.36</v>
      </c>
      <c r="G29" s="12">
        <v>20</v>
      </c>
      <c r="H29" s="8">
        <v>1.95</v>
      </c>
      <c r="I29" s="12">
        <v>0</v>
      </c>
    </row>
    <row r="30" spans="2:9" ht="15" customHeight="1" x14ac:dyDescent="0.15">
      <c r="B30" t="s">
        <v>90</v>
      </c>
      <c r="C30" s="12">
        <v>263</v>
      </c>
      <c r="D30" s="8">
        <v>11.03</v>
      </c>
      <c r="E30" s="12">
        <v>218</v>
      </c>
      <c r="F30" s="8">
        <v>16.14</v>
      </c>
      <c r="G30" s="12">
        <v>45</v>
      </c>
      <c r="H30" s="8">
        <v>4.38</v>
      </c>
      <c r="I30" s="12">
        <v>0</v>
      </c>
    </row>
    <row r="31" spans="2:9" ht="15" customHeight="1" x14ac:dyDescent="0.15">
      <c r="B31" t="s">
        <v>86</v>
      </c>
      <c r="C31" s="12">
        <v>220</v>
      </c>
      <c r="D31" s="8">
        <v>9.23</v>
      </c>
      <c r="E31" s="12">
        <v>92</v>
      </c>
      <c r="F31" s="8">
        <v>6.81</v>
      </c>
      <c r="G31" s="12">
        <v>127</v>
      </c>
      <c r="H31" s="8">
        <v>12.37</v>
      </c>
      <c r="I31" s="12">
        <v>1</v>
      </c>
    </row>
    <row r="32" spans="2:9" ht="15" customHeight="1" x14ac:dyDescent="0.15">
      <c r="B32" t="s">
        <v>84</v>
      </c>
      <c r="C32" s="12">
        <v>169</v>
      </c>
      <c r="D32" s="8">
        <v>7.09</v>
      </c>
      <c r="E32" s="12">
        <v>108</v>
      </c>
      <c r="F32" s="8">
        <v>7.99</v>
      </c>
      <c r="G32" s="12">
        <v>60</v>
      </c>
      <c r="H32" s="8">
        <v>5.84</v>
      </c>
      <c r="I32" s="12">
        <v>1</v>
      </c>
    </row>
    <row r="33" spans="2:9" ht="15" customHeight="1" x14ac:dyDescent="0.15">
      <c r="B33" t="s">
        <v>92</v>
      </c>
      <c r="C33" s="12">
        <v>146</v>
      </c>
      <c r="D33" s="8">
        <v>6.12</v>
      </c>
      <c r="E33" s="12">
        <v>104</v>
      </c>
      <c r="F33" s="8">
        <v>7.7</v>
      </c>
      <c r="G33" s="12">
        <v>41</v>
      </c>
      <c r="H33" s="8">
        <v>3.99</v>
      </c>
      <c r="I33" s="12">
        <v>1</v>
      </c>
    </row>
    <row r="34" spans="2:9" ht="15" customHeight="1" x14ac:dyDescent="0.15">
      <c r="B34" t="s">
        <v>74</v>
      </c>
      <c r="C34" s="12">
        <v>130</v>
      </c>
      <c r="D34" s="8">
        <v>5.45</v>
      </c>
      <c r="E34" s="12">
        <v>29</v>
      </c>
      <c r="F34" s="8">
        <v>2.15</v>
      </c>
      <c r="G34" s="12">
        <v>101</v>
      </c>
      <c r="H34" s="8">
        <v>9.83</v>
      </c>
      <c r="I34" s="12">
        <v>0</v>
      </c>
    </row>
    <row r="35" spans="2:9" ht="15" customHeight="1" x14ac:dyDescent="0.15">
      <c r="B35" t="s">
        <v>82</v>
      </c>
      <c r="C35" s="12">
        <v>127</v>
      </c>
      <c r="D35" s="8">
        <v>5.33</v>
      </c>
      <c r="E35" s="12">
        <v>92</v>
      </c>
      <c r="F35" s="8">
        <v>6.81</v>
      </c>
      <c r="G35" s="12">
        <v>34</v>
      </c>
      <c r="H35" s="8">
        <v>3.31</v>
      </c>
      <c r="I35" s="12">
        <v>1</v>
      </c>
    </row>
    <row r="36" spans="2:9" ht="15" customHeight="1" x14ac:dyDescent="0.15">
      <c r="B36" t="s">
        <v>83</v>
      </c>
      <c r="C36" s="12">
        <v>102</v>
      </c>
      <c r="D36" s="8">
        <v>4.28</v>
      </c>
      <c r="E36" s="12">
        <v>67</v>
      </c>
      <c r="F36" s="8">
        <v>4.96</v>
      </c>
      <c r="G36" s="12">
        <v>35</v>
      </c>
      <c r="H36" s="8">
        <v>3.41</v>
      </c>
      <c r="I36" s="12">
        <v>0</v>
      </c>
    </row>
    <row r="37" spans="2:9" ht="15" customHeight="1" x14ac:dyDescent="0.15">
      <c r="B37" t="s">
        <v>93</v>
      </c>
      <c r="C37" s="12">
        <v>75</v>
      </c>
      <c r="D37" s="8">
        <v>3.15</v>
      </c>
      <c r="E37" s="12">
        <v>68</v>
      </c>
      <c r="F37" s="8">
        <v>5.03</v>
      </c>
      <c r="G37" s="12">
        <v>7</v>
      </c>
      <c r="H37" s="8">
        <v>0.68</v>
      </c>
      <c r="I37" s="12">
        <v>0</v>
      </c>
    </row>
    <row r="38" spans="2:9" ht="15" customHeight="1" x14ac:dyDescent="0.15">
      <c r="B38" t="s">
        <v>81</v>
      </c>
      <c r="C38" s="12">
        <v>70</v>
      </c>
      <c r="D38" s="8">
        <v>2.94</v>
      </c>
      <c r="E38" s="12">
        <v>29</v>
      </c>
      <c r="F38" s="8">
        <v>2.15</v>
      </c>
      <c r="G38" s="12">
        <v>41</v>
      </c>
      <c r="H38" s="8">
        <v>3.99</v>
      </c>
      <c r="I38" s="12">
        <v>0</v>
      </c>
    </row>
    <row r="39" spans="2:9" ht="15" customHeight="1" x14ac:dyDescent="0.15">
      <c r="B39" t="s">
        <v>87</v>
      </c>
      <c r="C39" s="12">
        <v>66</v>
      </c>
      <c r="D39" s="8">
        <v>2.77</v>
      </c>
      <c r="E39" s="12">
        <v>56</v>
      </c>
      <c r="F39" s="8">
        <v>4.1500000000000004</v>
      </c>
      <c r="G39" s="12">
        <v>10</v>
      </c>
      <c r="H39" s="8">
        <v>0.97</v>
      </c>
      <c r="I39" s="12">
        <v>0</v>
      </c>
    </row>
    <row r="40" spans="2:9" ht="15" customHeight="1" x14ac:dyDescent="0.15">
      <c r="B40" t="s">
        <v>76</v>
      </c>
      <c r="C40" s="12">
        <v>64</v>
      </c>
      <c r="D40" s="8">
        <v>2.68</v>
      </c>
      <c r="E40" s="12">
        <v>19</v>
      </c>
      <c r="F40" s="8">
        <v>1.41</v>
      </c>
      <c r="G40" s="12">
        <v>45</v>
      </c>
      <c r="H40" s="8">
        <v>4.38</v>
      </c>
      <c r="I40" s="12">
        <v>0</v>
      </c>
    </row>
    <row r="41" spans="2:9" ht="15" customHeight="1" x14ac:dyDescent="0.15">
      <c r="B41" t="s">
        <v>75</v>
      </c>
      <c r="C41" s="12">
        <v>62</v>
      </c>
      <c r="D41" s="8">
        <v>2.6</v>
      </c>
      <c r="E41" s="12">
        <v>22</v>
      </c>
      <c r="F41" s="8">
        <v>1.63</v>
      </c>
      <c r="G41" s="12">
        <v>40</v>
      </c>
      <c r="H41" s="8">
        <v>3.89</v>
      </c>
      <c r="I41" s="12">
        <v>0</v>
      </c>
    </row>
    <row r="42" spans="2:9" ht="15" customHeight="1" x14ac:dyDescent="0.15">
      <c r="B42" t="s">
        <v>85</v>
      </c>
      <c r="C42" s="12">
        <v>49</v>
      </c>
      <c r="D42" s="8">
        <v>2.06</v>
      </c>
      <c r="E42" s="12">
        <v>15</v>
      </c>
      <c r="F42" s="8">
        <v>1.1100000000000001</v>
      </c>
      <c r="G42" s="12">
        <v>34</v>
      </c>
      <c r="H42" s="8">
        <v>3.31</v>
      </c>
      <c r="I42" s="12">
        <v>0</v>
      </c>
    </row>
    <row r="43" spans="2:9" ht="15" customHeight="1" x14ac:dyDescent="0.15">
      <c r="B43" t="s">
        <v>91</v>
      </c>
      <c r="C43" s="12">
        <v>45</v>
      </c>
      <c r="D43" s="8">
        <v>1.89</v>
      </c>
      <c r="E43" s="12">
        <v>19</v>
      </c>
      <c r="F43" s="8">
        <v>1.41</v>
      </c>
      <c r="G43" s="12">
        <v>26</v>
      </c>
      <c r="H43" s="8">
        <v>2.5299999999999998</v>
      </c>
      <c r="I43" s="12">
        <v>0</v>
      </c>
    </row>
    <row r="44" spans="2:9" ht="15" customHeight="1" x14ac:dyDescent="0.15">
      <c r="B44" t="s">
        <v>88</v>
      </c>
      <c r="C44" s="12">
        <v>42</v>
      </c>
      <c r="D44" s="8">
        <v>1.76</v>
      </c>
      <c r="E44" s="12">
        <v>17</v>
      </c>
      <c r="F44" s="8">
        <v>1.26</v>
      </c>
      <c r="G44" s="12">
        <v>25</v>
      </c>
      <c r="H44" s="8">
        <v>2.4300000000000002</v>
      </c>
      <c r="I44" s="12">
        <v>0</v>
      </c>
    </row>
    <row r="45" spans="2:9" ht="15" customHeight="1" x14ac:dyDescent="0.15">
      <c r="B45" t="s">
        <v>78</v>
      </c>
      <c r="C45" s="12">
        <v>37</v>
      </c>
      <c r="D45" s="8">
        <v>1.55</v>
      </c>
      <c r="E45" s="12">
        <v>3</v>
      </c>
      <c r="F45" s="8">
        <v>0.22</v>
      </c>
      <c r="G45" s="12">
        <v>34</v>
      </c>
      <c r="H45" s="8">
        <v>3.31</v>
      </c>
      <c r="I45" s="12">
        <v>0</v>
      </c>
    </row>
    <row r="46" spans="2:9" ht="15" customHeight="1" x14ac:dyDescent="0.15">
      <c r="B46" t="s">
        <v>80</v>
      </c>
      <c r="C46" s="12">
        <v>34</v>
      </c>
      <c r="D46" s="8">
        <v>1.43</v>
      </c>
      <c r="E46" s="12">
        <v>14</v>
      </c>
      <c r="F46" s="8">
        <v>1.04</v>
      </c>
      <c r="G46" s="12">
        <v>20</v>
      </c>
      <c r="H46" s="8">
        <v>1.95</v>
      </c>
      <c r="I46" s="12">
        <v>0</v>
      </c>
    </row>
    <row r="47" spans="2:9" ht="15" customHeight="1" x14ac:dyDescent="0.15">
      <c r="B47" t="s">
        <v>101</v>
      </c>
      <c r="C47" s="12">
        <v>33</v>
      </c>
      <c r="D47" s="8">
        <v>1.38</v>
      </c>
      <c r="E47" s="12">
        <v>11</v>
      </c>
      <c r="F47" s="8">
        <v>0.81</v>
      </c>
      <c r="G47" s="12">
        <v>22</v>
      </c>
      <c r="H47" s="8">
        <v>2.14</v>
      </c>
      <c r="I47" s="12">
        <v>0</v>
      </c>
    </row>
    <row r="48" spans="2:9" ht="15" customHeight="1" x14ac:dyDescent="0.15">
      <c r="B48" t="s">
        <v>77</v>
      </c>
      <c r="C48" s="12">
        <v>32</v>
      </c>
      <c r="D48" s="8">
        <v>1.34</v>
      </c>
      <c r="E48" s="12">
        <v>13</v>
      </c>
      <c r="F48" s="8">
        <v>0.96</v>
      </c>
      <c r="G48" s="12">
        <v>19</v>
      </c>
      <c r="H48" s="8">
        <v>1.85</v>
      </c>
      <c r="I48" s="12">
        <v>0</v>
      </c>
    </row>
    <row r="49" spans="2:9" ht="15" customHeight="1" x14ac:dyDescent="0.15">
      <c r="B49" t="s">
        <v>79</v>
      </c>
      <c r="C49" s="12">
        <v>32</v>
      </c>
      <c r="D49" s="8">
        <v>1.34</v>
      </c>
      <c r="E49" s="12">
        <v>3</v>
      </c>
      <c r="F49" s="8">
        <v>0.22</v>
      </c>
      <c r="G49" s="12">
        <v>29</v>
      </c>
      <c r="H49" s="8">
        <v>2.82</v>
      </c>
      <c r="I49" s="12">
        <v>0</v>
      </c>
    </row>
    <row r="52" spans="2:9" ht="33" customHeight="1" x14ac:dyDescent="0.15">
      <c r="B52" t="s">
        <v>320</v>
      </c>
      <c r="C52" s="10" t="s">
        <v>67</v>
      </c>
      <c r="D52" s="10" t="s">
        <v>68</v>
      </c>
      <c r="E52" s="10" t="s">
        <v>69</v>
      </c>
      <c r="F52" s="10" t="s">
        <v>70</v>
      </c>
      <c r="G52" s="10" t="s">
        <v>71</v>
      </c>
      <c r="H52" s="10" t="s">
        <v>72</v>
      </c>
      <c r="I52" s="10" t="s">
        <v>73</v>
      </c>
    </row>
    <row r="53" spans="2:9" ht="15" customHeight="1" x14ac:dyDescent="0.15">
      <c r="B53" t="s">
        <v>141</v>
      </c>
      <c r="C53" s="12">
        <v>160</v>
      </c>
      <c r="D53" s="8">
        <v>6.71</v>
      </c>
      <c r="E53" s="12">
        <v>138</v>
      </c>
      <c r="F53" s="8">
        <v>10.210000000000001</v>
      </c>
      <c r="G53" s="12">
        <v>22</v>
      </c>
      <c r="H53" s="8">
        <v>2.14</v>
      </c>
      <c r="I53" s="12">
        <v>0</v>
      </c>
    </row>
    <row r="54" spans="2:9" ht="15" customHeight="1" x14ac:dyDescent="0.15">
      <c r="B54" t="s">
        <v>134</v>
      </c>
      <c r="C54" s="12">
        <v>96</v>
      </c>
      <c r="D54" s="8">
        <v>4.03</v>
      </c>
      <c r="E54" s="12">
        <v>52</v>
      </c>
      <c r="F54" s="8">
        <v>3.85</v>
      </c>
      <c r="G54" s="12">
        <v>44</v>
      </c>
      <c r="H54" s="8">
        <v>4.28</v>
      </c>
      <c r="I54" s="12">
        <v>0</v>
      </c>
    </row>
    <row r="55" spans="2:9" ht="15" customHeight="1" x14ac:dyDescent="0.15">
      <c r="B55" t="s">
        <v>143</v>
      </c>
      <c r="C55" s="12">
        <v>93</v>
      </c>
      <c r="D55" s="8">
        <v>3.9</v>
      </c>
      <c r="E55" s="12">
        <v>66</v>
      </c>
      <c r="F55" s="8">
        <v>4.8899999999999997</v>
      </c>
      <c r="G55" s="12">
        <v>27</v>
      </c>
      <c r="H55" s="8">
        <v>2.63</v>
      </c>
      <c r="I55" s="12">
        <v>0</v>
      </c>
    </row>
    <row r="56" spans="2:9" ht="15" customHeight="1" x14ac:dyDescent="0.15">
      <c r="B56" t="s">
        <v>132</v>
      </c>
      <c r="C56" s="12">
        <v>70</v>
      </c>
      <c r="D56" s="8">
        <v>2.94</v>
      </c>
      <c r="E56" s="12">
        <v>54</v>
      </c>
      <c r="F56" s="8">
        <v>4</v>
      </c>
      <c r="G56" s="12">
        <v>16</v>
      </c>
      <c r="H56" s="8">
        <v>1.56</v>
      </c>
      <c r="I56" s="12">
        <v>0</v>
      </c>
    </row>
    <row r="57" spans="2:9" ht="15" customHeight="1" x14ac:dyDescent="0.15">
      <c r="B57" t="s">
        <v>138</v>
      </c>
      <c r="C57" s="12">
        <v>58</v>
      </c>
      <c r="D57" s="8">
        <v>2.4300000000000002</v>
      </c>
      <c r="E57" s="12">
        <v>54</v>
      </c>
      <c r="F57" s="8">
        <v>4</v>
      </c>
      <c r="G57" s="12">
        <v>4</v>
      </c>
      <c r="H57" s="8">
        <v>0.39</v>
      </c>
      <c r="I57" s="12">
        <v>0</v>
      </c>
    </row>
    <row r="58" spans="2:9" ht="15" customHeight="1" x14ac:dyDescent="0.15">
      <c r="B58" t="s">
        <v>144</v>
      </c>
      <c r="C58" s="12">
        <v>57</v>
      </c>
      <c r="D58" s="8">
        <v>2.39</v>
      </c>
      <c r="E58" s="12">
        <v>51</v>
      </c>
      <c r="F58" s="8">
        <v>3.77</v>
      </c>
      <c r="G58" s="12">
        <v>6</v>
      </c>
      <c r="H58" s="8">
        <v>0.57999999999999996</v>
      </c>
      <c r="I58" s="12">
        <v>0</v>
      </c>
    </row>
    <row r="59" spans="2:9" ht="15" customHeight="1" x14ac:dyDescent="0.15">
      <c r="B59" t="s">
        <v>137</v>
      </c>
      <c r="C59" s="12">
        <v>56</v>
      </c>
      <c r="D59" s="8">
        <v>2.35</v>
      </c>
      <c r="E59" s="12">
        <v>56</v>
      </c>
      <c r="F59" s="8">
        <v>4.1500000000000004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136</v>
      </c>
      <c r="C60" s="12">
        <v>54</v>
      </c>
      <c r="D60" s="8">
        <v>2.27</v>
      </c>
      <c r="E60" s="12">
        <v>53</v>
      </c>
      <c r="F60" s="8">
        <v>3.92</v>
      </c>
      <c r="G60" s="12">
        <v>1</v>
      </c>
      <c r="H60" s="8">
        <v>0.1</v>
      </c>
      <c r="I60" s="12">
        <v>0</v>
      </c>
    </row>
    <row r="61" spans="2:9" ht="15" customHeight="1" x14ac:dyDescent="0.15">
      <c r="B61" t="s">
        <v>125</v>
      </c>
      <c r="C61" s="12">
        <v>53</v>
      </c>
      <c r="D61" s="8">
        <v>2.2200000000000002</v>
      </c>
      <c r="E61" s="12">
        <v>8</v>
      </c>
      <c r="F61" s="8">
        <v>0.59</v>
      </c>
      <c r="G61" s="12">
        <v>45</v>
      </c>
      <c r="H61" s="8">
        <v>4.38</v>
      </c>
      <c r="I61" s="12">
        <v>0</v>
      </c>
    </row>
    <row r="62" spans="2:9" ht="15" customHeight="1" x14ac:dyDescent="0.15">
      <c r="B62" t="s">
        <v>130</v>
      </c>
      <c r="C62" s="12">
        <v>50</v>
      </c>
      <c r="D62" s="8">
        <v>2.1</v>
      </c>
      <c r="E62" s="12">
        <v>25</v>
      </c>
      <c r="F62" s="8">
        <v>1.85</v>
      </c>
      <c r="G62" s="12">
        <v>25</v>
      </c>
      <c r="H62" s="8">
        <v>2.4300000000000002</v>
      </c>
      <c r="I62" s="12">
        <v>0</v>
      </c>
    </row>
    <row r="63" spans="2:9" ht="15" customHeight="1" x14ac:dyDescent="0.15">
      <c r="B63" t="s">
        <v>135</v>
      </c>
      <c r="C63" s="12">
        <v>50</v>
      </c>
      <c r="D63" s="8">
        <v>2.1</v>
      </c>
      <c r="E63" s="12">
        <v>44</v>
      </c>
      <c r="F63" s="8">
        <v>3.26</v>
      </c>
      <c r="G63" s="12">
        <v>6</v>
      </c>
      <c r="H63" s="8">
        <v>0.57999999999999996</v>
      </c>
      <c r="I63" s="12">
        <v>0</v>
      </c>
    </row>
    <row r="64" spans="2:9" ht="15" customHeight="1" x14ac:dyDescent="0.15">
      <c r="B64" t="s">
        <v>149</v>
      </c>
      <c r="C64" s="12">
        <v>48</v>
      </c>
      <c r="D64" s="8">
        <v>2.0099999999999998</v>
      </c>
      <c r="E64" s="12">
        <v>3</v>
      </c>
      <c r="F64" s="8">
        <v>0.22</v>
      </c>
      <c r="G64" s="12">
        <v>44</v>
      </c>
      <c r="H64" s="8">
        <v>4.28</v>
      </c>
      <c r="I64" s="12">
        <v>1</v>
      </c>
    </row>
    <row r="65" spans="2:9" ht="15" customHeight="1" x14ac:dyDescent="0.15">
      <c r="B65" t="s">
        <v>142</v>
      </c>
      <c r="C65" s="12">
        <v>48</v>
      </c>
      <c r="D65" s="8">
        <v>2.0099999999999998</v>
      </c>
      <c r="E65" s="12">
        <v>38</v>
      </c>
      <c r="F65" s="8">
        <v>2.81</v>
      </c>
      <c r="G65" s="12">
        <v>10</v>
      </c>
      <c r="H65" s="8">
        <v>0.97</v>
      </c>
      <c r="I65" s="12">
        <v>0</v>
      </c>
    </row>
    <row r="66" spans="2:9" ht="15" customHeight="1" x14ac:dyDescent="0.15">
      <c r="B66" t="s">
        <v>147</v>
      </c>
      <c r="C66" s="12">
        <v>47</v>
      </c>
      <c r="D66" s="8">
        <v>1.97</v>
      </c>
      <c r="E66" s="12">
        <v>14</v>
      </c>
      <c r="F66" s="8">
        <v>1.04</v>
      </c>
      <c r="G66" s="12">
        <v>33</v>
      </c>
      <c r="H66" s="8">
        <v>3.21</v>
      </c>
      <c r="I66" s="12">
        <v>0</v>
      </c>
    </row>
    <row r="67" spans="2:9" ht="15" customHeight="1" x14ac:dyDescent="0.15">
      <c r="B67" t="s">
        <v>159</v>
      </c>
      <c r="C67" s="12">
        <v>45</v>
      </c>
      <c r="D67" s="8">
        <v>1.89</v>
      </c>
      <c r="E67" s="12">
        <v>35</v>
      </c>
      <c r="F67" s="8">
        <v>2.59</v>
      </c>
      <c r="G67" s="12">
        <v>10</v>
      </c>
      <c r="H67" s="8">
        <v>0.97</v>
      </c>
      <c r="I67" s="12">
        <v>0</v>
      </c>
    </row>
    <row r="68" spans="2:9" ht="15" customHeight="1" x14ac:dyDescent="0.15">
      <c r="B68" t="s">
        <v>139</v>
      </c>
      <c r="C68" s="12">
        <v>45</v>
      </c>
      <c r="D68" s="8">
        <v>1.89</v>
      </c>
      <c r="E68" s="12">
        <v>31</v>
      </c>
      <c r="F68" s="8">
        <v>2.29</v>
      </c>
      <c r="G68" s="12">
        <v>14</v>
      </c>
      <c r="H68" s="8">
        <v>1.36</v>
      </c>
      <c r="I68" s="12">
        <v>0</v>
      </c>
    </row>
    <row r="69" spans="2:9" ht="15" customHeight="1" x14ac:dyDescent="0.15">
      <c r="B69" t="s">
        <v>129</v>
      </c>
      <c r="C69" s="12">
        <v>44</v>
      </c>
      <c r="D69" s="8">
        <v>1.85</v>
      </c>
      <c r="E69" s="12">
        <v>28</v>
      </c>
      <c r="F69" s="8">
        <v>2.0699999999999998</v>
      </c>
      <c r="G69" s="12">
        <v>15</v>
      </c>
      <c r="H69" s="8">
        <v>1.46</v>
      </c>
      <c r="I69" s="12">
        <v>1</v>
      </c>
    </row>
    <row r="70" spans="2:9" ht="15" customHeight="1" x14ac:dyDescent="0.15">
      <c r="B70" t="s">
        <v>128</v>
      </c>
      <c r="C70" s="12">
        <v>43</v>
      </c>
      <c r="D70" s="8">
        <v>1.8</v>
      </c>
      <c r="E70" s="12">
        <v>19</v>
      </c>
      <c r="F70" s="8">
        <v>1.41</v>
      </c>
      <c r="G70" s="12">
        <v>24</v>
      </c>
      <c r="H70" s="8">
        <v>2.34</v>
      </c>
      <c r="I70" s="12">
        <v>0</v>
      </c>
    </row>
    <row r="71" spans="2:9" ht="15" customHeight="1" x14ac:dyDescent="0.15">
      <c r="B71" t="s">
        <v>140</v>
      </c>
      <c r="C71" s="12">
        <v>42</v>
      </c>
      <c r="D71" s="8">
        <v>1.76</v>
      </c>
      <c r="E71" s="12">
        <v>39</v>
      </c>
      <c r="F71" s="8">
        <v>2.89</v>
      </c>
      <c r="G71" s="12">
        <v>3</v>
      </c>
      <c r="H71" s="8">
        <v>0.28999999999999998</v>
      </c>
      <c r="I71" s="12">
        <v>0</v>
      </c>
    </row>
    <row r="72" spans="2:9" ht="15" customHeight="1" x14ac:dyDescent="0.15">
      <c r="B72" t="s">
        <v>146</v>
      </c>
      <c r="C72" s="12">
        <v>36</v>
      </c>
      <c r="D72" s="8">
        <v>1.51</v>
      </c>
      <c r="E72" s="12">
        <v>26</v>
      </c>
      <c r="F72" s="8">
        <v>1.92</v>
      </c>
      <c r="G72" s="12">
        <v>10</v>
      </c>
      <c r="H72" s="8">
        <v>0.97</v>
      </c>
      <c r="I72" s="12">
        <v>0</v>
      </c>
    </row>
    <row r="74" spans="2:9" ht="15" customHeight="1" x14ac:dyDescent="0.15">
      <c r="B74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321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1</v>
      </c>
      <c r="D5" s="8">
        <v>0.08</v>
      </c>
      <c r="E5" s="12">
        <v>0</v>
      </c>
      <c r="F5" s="8">
        <v>0</v>
      </c>
      <c r="G5" s="12">
        <v>1</v>
      </c>
      <c r="H5" s="8">
        <v>0.24</v>
      </c>
      <c r="I5" s="12">
        <v>0</v>
      </c>
    </row>
    <row r="6" spans="2:9" ht="15" customHeight="1" x14ac:dyDescent="0.15">
      <c r="B6" t="s">
        <v>52</v>
      </c>
      <c r="C6" s="12">
        <v>141</v>
      </c>
      <c r="D6" s="8">
        <v>11.29</v>
      </c>
      <c r="E6" s="12">
        <v>76</v>
      </c>
      <c r="F6" s="8">
        <v>9.16</v>
      </c>
      <c r="G6" s="12">
        <v>65</v>
      </c>
      <c r="H6" s="8">
        <v>15.66</v>
      </c>
      <c r="I6" s="12">
        <v>0</v>
      </c>
    </row>
    <row r="7" spans="2:9" ht="15" customHeight="1" x14ac:dyDescent="0.15">
      <c r="B7" t="s">
        <v>53</v>
      </c>
      <c r="C7" s="12">
        <v>332</v>
      </c>
      <c r="D7" s="8">
        <v>26.58</v>
      </c>
      <c r="E7" s="12">
        <v>223</v>
      </c>
      <c r="F7" s="8">
        <v>26.87</v>
      </c>
      <c r="G7" s="12">
        <v>109</v>
      </c>
      <c r="H7" s="8">
        <v>26.27</v>
      </c>
      <c r="I7" s="12">
        <v>0</v>
      </c>
    </row>
    <row r="8" spans="2:9" ht="15" customHeight="1" x14ac:dyDescent="0.15">
      <c r="B8" t="s">
        <v>54</v>
      </c>
      <c r="C8" s="12">
        <v>1</v>
      </c>
      <c r="D8" s="8">
        <v>0.08</v>
      </c>
      <c r="E8" s="12">
        <v>0</v>
      </c>
      <c r="F8" s="8">
        <v>0</v>
      </c>
      <c r="G8" s="12">
        <v>1</v>
      </c>
      <c r="H8" s="8">
        <v>0.24</v>
      </c>
      <c r="I8" s="12">
        <v>0</v>
      </c>
    </row>
    <row r="9" spans="2:9" ht="15" customHeight="1" x14ac:dyDescent="0.15">
      <c r="B9" t="s">
        <v>55</v>
      </c>
      <c r="C9" s="12">
        <v>3</v>
      </c>
      <c r="D9" s="8">
        <v>0.24</v>
      </c>
      <c r="E9" s="12">
        <v>0</v>
      </c>
      <c r="F9" s="8">
        <v>0</v>
      </c>
      <c r="G9" s="12">
        <v>3</v>
      </c>
      <c r="H9" s="8">
        <v>0.72</v>
      </c>
      <c r="I9" s="12">
        <v>0</v>
      </c>
    </row>
    <row r="10" spans="2:9" ht="15" customHeight="1" x14ac:dyDescent="0.15">
      <c r="B10" t="s">
        <v>56</v>
      </c>
      <c r="C10" s="12">
        <v>14</v>
      </c>
      <c r="D10" s="8">
        <v>1.1200000000000001</v>
      </c>
      <c r="E10" s="12">
        <v>6</v>
      </c>
      <c r="F10" s="8">
        <v>0.72</v>
      </c>
      <c r="G10" s="12">
        <v>8</v>
      </c>
      <c r="H10" s="8">
        <v>1.93</v>
      </c>
      <c r="I10" s="12">
        <v>0</v>
      </c>
    </row>
    <row r="11" spans="2:9" ht="15" customHeight="1" x14ac:dyDescent="0.15">
      <c r="B11" t="s">
        <v>57</v>
      </c>
      <c r="C11" s="12">
        <v>305</v>
      </c>
      <c r="D11" s="8">
        <v>24.42</v>
      </c>
      <c r="E11" s="12">
        <v>187</v>
      </c>
      <c r="F11" s="8">
        <v>22.53</v>
      </c>
      <c r="G11" s="12">
        <v>114</v>
      </c>
      <c r="H11" s="8">
        <v>27.47</v>
      </c>
      <c r="I11" s="12">
        <v>4</v>
      </c>
    </row>
    <row r="12" spans="2:9" ht="15" customHeight="1" x14ac:dyDescent="0.15">
      <c r="B12" t="s">
        <v>58</v>
      </c>
      <c r="C12" s="12">
        <v>9</v>
      </c>
      <c r="D12" s="8">
        <v>0.72</v>
      </c>
      <c r="E12" s="12">
        <v>4</v>
      </c>
      <c r="F12" s="8">
        <v>0.48</v>
      </c>
      <c r="G12" s="12">
        <v>5</v>
      </c>
      <c r="H12" s="8">
        <v>1.2</v>
      </c>
      <c r="I12" s="12">
        <v>0</v>
      </c>
    </row>
    <row r="13" spans="2:9" ht="15" customHeight="1" x14ac:dyDescent="0.15">
      <c r="B13" t="s">
        <v>59</v>
      </c>
      <c r="C13" s="12">
        <v>64</v>
      </c>
      <c r="D13" s="8">
        <v>5.12</v>
      </c>
      <c r="E13" s="12">
        <v>32</v>
      </c>
      <c r="F13" s="8">
        <v>3.86</v>
      </c>
      <c r="G13" s="12">
        <v>32</v>
      </c>
      <c r="H13" s="8">
        <v>7.71</v>
      </c>
      <c r="I13" s="12">
        <v>0</v>
      </c>
    </row>
    <row r="14" spans="2:9" ht="15" customHeight="1" x14ac:dyDescent="0.15">
      <c r="B14" t="s">
        <v>60</v>
      </c>
      <c r="C14" s="12">
        <v>49</v>
      </c>
      <c r="D14" s="8">
        <v>3.92</v>
      </c>
      <c r="E14" s="12">
        <v>36</v>
      </c>
      <c r="F14" s="8">
        <v>4.34</v>
      </c>
      <c r="G14" s="12">
        <v>13</v>
      </c>
      <c r="H14" s="8">
        <v>3.13</v>
      </c>
      <c r="I14" s="12">
        <v>0</v>
      </c>
    </row>
    <row r="15" spans="2:9" ht="15" customHeight="1" x14ac:dyDescent="0.15">
      <c r="B15" t="s">
        <v>61</v>
      </c>
      <c r="C15" s="12">
        <v>110</v>
      </c>
      <c r="D15" s="8">
        <v>8.81</v>
      </c>
      <c r="E15" s="12">
        <v>100</v>
      </c>
      <c r="F15" s="8">
        <v>12.05</v>
      </c>
      <c r="G15" s="12">
        <v>10</v>
      </c>
      <c r="H15" s="8">
        <v>2.41</v>
      </c>
      <c r="I15" s="12">
        <v>0</v>
      </c>
    </row>
    <row r="16" spans="2:9" ht="15" customHeight="1" x14ac:dyDescent="0.15">
      <c r="B16" t="s">
        <v>62</v>
      </c>
      <c r="C16" s="12">
        <v>111</v>
      </c>
      <c r="D16" s="8">
        <v>8.89</v>
      </c>
      <c r="E16" s="12">
        <v>86</v>
      </c>
      <c r="F16" s="8">
        <v>10.36</v>
      </c>
      <c r="G16" s="12">
        <v>25</v>
      </c>
      <c r="H16" s="8">
        <v>6.02</v>
      </c>
      <c r="I16" s="12">
        <v>0</v>
      </c>
    </row>
    <row r="17" spans="2:9" ht="15" customHeight="1" x14ac:dyDescent="0.15">
      <c r="B17" t="s">
        <v>63</v>
      </c>
      <c r="C17" s="12">
        <v>38</v>
      </c>
      <c r="D17" s="8">
        <v>3.04</v>
      </c>
      <c r="E17" s="12">
        <v>32</v>
      </c>
      <c r="F17" s="8">
        <v>3.86</v>
      </c>
      <c r="G17" s="12">
        <v>6</v>
      </c>
      <c r="H17" s="8">
        <v>1.45</v>
      </c>
      <c r="I17" s="12">
        <v>0</v>
      </c>
    </row>
    <row r="18" spans="2:9" ht="15" customHeight="1" x14ac:dyDescent="0.15">
      <c r="B18" t="s">
        <v>64</v>
      </c>
      <c r="C18" s="12">
        <v>32</v>
      </c>
      <c r="D18" s="8">
        <v>2.56</v>
      </c>
      <c r="E18" s="12">
        <v>26</v>
      </c>
      <c r="F18" s="8">
        <v>3.13</v>
      </c>
      <c r="G18" s="12">
        <v>6</v>
      </c>
      <c r="H18" s="8">
        <v>1.45</v>
      </c>
      <c r="I18" s="12">
        <v>0</v>
      </c>
    </row>
    <row r="19" spans="2:9" ht="15" customHeight="1" x14ac:dyDescent="0.15">
      <c r="B19" t="s">
        <v>65</v>
      </c>
      <c r="C19" s="12">
        <v>39</v>
      </c>
      <c r="D19" s="8">
        <v>3.12</v>
      </c>
      <c r="E19" s="12">
        <v>22</v>
      </c>
      <c r="F19" s="8">
        <v>2.65</v>
      </c>
      <c r="G19" s="12">
        <v>17</v>
      </c>
      <c r="H19" s="8">
        <v>4.0999999999999996</v>
      </c>
      <c r="I19" s="12">
        <v>0</v>
      </c>
    </row>
    <row r="20" spans="2:9" ht="15" customHeight="1" x14ac:dyDescent="0.15">
      <c r="B20" s="9" t="s">
        <v>215</v>
      </c>
      <c r="C20" s="12">
        <f>SUM(LTBL_28218[総数／事業所数])</f>
        <v>1249</v>
      </c>
      <c r="E20" s="12">
        <f>SUBTOTAL(109,LTBL_28218[個人／事業所数])</f>
        <v>830</v>
      </c>
      <c r="G20" s="12">
        <f>SUBTOTAL(109,LTBL_28218[法人／事業所数])</f>
        <v>415</v>
      </c>
      <c r="I20" s="12">
        <f>SUBTOTAL(109,LTBL_28218[法人以外の団体／事業所数])</f>
        <v>4</v>
      </c>
    </row>
    <row r="21" spans="2:9" ht="15" customHeight="1" x14ac:dyDescent="0.15">
      <c r="E21" s="11">
        <f>LTBL_28218[[#Totals],[個人／事業所数]]/LTBL_28218[[#Totals],[総数／事業所数]]</f>
        <v>0.66453162530024024</v>
      </c>
      <c r="G21" s="11">
        <f>LTBL_28218[[#Totals],[法人／事業所数]]/LTBL_28218[[#Totals],[総数／事業所数]]</f>
        <v>0.33226581265012012</v>
      </c>
      <c r="I21" s="11">
        <f>LTBL_28218[[#Totals],[法人以外の団体／事業所数]]/LTBL_28218[[#Totals],[総数／事業所数]]</f>
        <v>3.2025620496397116E-3</v>
      </c>
    </row>
    <row r="23" spans="2:9" ht="33" customHeight="1" x14ac:dyDescent="0.15">
      <c r="B23" t="s">
        <v>214</v>
      </c>
      <c r="C23" s="10" t="s">
        <v>67</v>
      </c>
      <c r="D23" s="10" t="s">
        <v>322</v>
      </c>
      <c r="E23" s="10" t="s">
        <v>69</v>
      </c>
      <c r="F23" s="10" t="s">
        <v>323</v>
      </c>
      <c r="G23" s="10" t="s">
        <v>71</v>
      </c>
      <c r="H23" s="10" t="s">
        <v>324</v>
      </c>
      <c r="I23" s="10" t="s">
        <v>73</v>
      </c>
    </row>
    <row r="24" spans="2:9" ht="15" customHeight="1" x14ac:dyDescent="0.15">
      <c r="B24" t="s">
        <v>217</v>
      </c>
      <c r="C24">
        <v>14</v>
      </c>
      <c r="D24" t="s">
        <v>216</v>
      </c>
      <c r="E24">
        <v>0</v>
      </c>
      <c r="F24" t="s">
        <v>218</v>
      </c>
      <c r="G24">
        <v>14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224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77</v>
      </c>
      <c r="C29" s="12">
        <v>127</v>
      </c>
      <c r="D29" s="8">
        <v>10.17</v>
      </c>
      <c r="E29" s="12">
        <v>98</v>
      </c>
      <c r="F29" s="8">
        <v>11.81</v>
      </c>
      <c r="G29" s="12">
        <v>29</v>
      </c>
      <c r="H29" s="8">
        <v>6.99</v>
      </c>
      <c r="I29" s="12">
        <v>0</v>
      </c>
    </row>
    <row r="30" spans="2:9" ht="15" customHeight="1" x14ac:dyDescent="0.15">
      <c r="B30" t="s">
        <v>89</v>
      </c>
      <c r="C30" s="12">
        <v>102</v>
      </c>
      <c r="D30" s="8">
        <v>8.17</v>
      </c>
      <c r="E30" s="12">
        <v>97</v>
      </c>
      <c r="F30" s="8">
        <v>11.69</v>
      </c>
      <c r="G30" s="12">
        <v>5</v>
      </c>
      <c r="H30" s="8">
        <v>1.2</v>
      </c>
      <c r="I30" s="12">
        <v>0</v>
      </c>
    </row>
    <row r="31" spans="2:9" ht="15" customHeight="1" x14ac:dyDescent="0.15">
      <c r="B31" t="s">
        <v>90</v>
      </c>
      <c r="C31" s="12">
        <v>96</v>
      </c>
      <c r="D31" s="8">
        <v>7.69</v>
      </c>
      <c r="E31" s="12">
        <v>81</v>
      </c>
      <c r="F31" s="8">
        <v>9.76</v>
      </c>
      <c r="G31" s="12">
        <v>15</v>
      </c>
      <c r="H31" s="8">
        <v>3.61</v>
      </c>
      <c r="I31" s="12">
        <v>0</v>
      </c>
    </row>
    <row r="32" spans="2:9" ht="15" customHeight="1" x14ac:dyDescent="0.15">
      <c r="B32" t="s">
        <v>84</v>
      </c>
      <c r="C32" s="12">
        <v>94</v>
      </c>
      <c r="D32" s="8">
        <v>7.53</v>
      </c>
      <c r="E32" s="12">
        <v>53</v>
      </c>
      <c r="F32" s="8">
        <v>6.39</v>
      </c>
      <c r="G32" s="12">
        <v>41</v>
      </c>
      <c r="H32" s="8">
        <v>9.8800000000000008</v>
      </c>
      <c r="I32" s="12">
        <v>0</v>
      </c>
    </row>
    <row r="33" spans="2:9" ht="15" customHeight="1" x14ac:dyDescent="0.15">
      <c r="B33" t="s">
        <v>74</v>
      </c>
      <c r="C33" s="12">
        <v>84</v>
      </c>
      <c r="D33" s="8">
        <v>6.73</v>
      </c>
      <c r="E33" s="12">
        <v>42</v>
      </c>
      <c r="F33" s="8">
        <v>5.0599999999999996</v>
      </c>
      <c r="G33" s="12">
        <v>42</v>
      </c>
      <c r="H33" s="8">
        <v>10.119999999999999</v>
      </c>
      <c r="I33" s="12">
        <v>0</v>
      </c>
    </row>
    <row r="34" spans="2:9" ht="15" customHeight="1" x14ac:dyDescent="0.15">
      <c r="B34" t="s">
        <v>82</v>
      </c>
      <c r="C34" s="12">
        <v>48</v>
      </c>
      <c r="D34" s="8">
        <v>3.84</v>
      </c>
      <c r="E34" s="12">
        <v>37</v>
      </c>
      <c r="F34" s="8">
        <v>4.46</v>
      </c>
      <c r="G34" s="12">
        <v>9</v>
      </c>
      <c r="H34" s="8">
        <v>2.17</v>
      </c>
      <c r="I34" s="12">
        <v>2</v>
      </c>
    </row>
    <row r="35" spans="2:9" ht="15" customHeight="1" x14ac:dyDescent="0.15">
      <c r="B35" t="s">
        <v>86</v>
      </c>
      <c r="C35" s="12">
        <v>48</v>
      </c>
      <c r="D35" s="8">
        <v>3.84</v>
      </c>
      <c r="E35" s="12">
        <v>27</v>
      </c>
      <c r="F35" s="8">
        <v>3.25</v>
      </c>
      <c r="G35" s="12">
        <v>21</v>
      </c>
      <c r="H35" s="8">
        <v>5.0599999999999996</v>
      </c>
      <c r="I35" s="12">
        <v>0</v>
      </c>
    </row>
    <row r="36" spans="2:9" ht="15" customHeight="1" x14ac:dyDescent="0.15">
      <c r="B36" t="s">
        <v>83</v>
      </c>
      <c r="C36" s="12">
        <v>43</v>
      </c>
      <c r="D36" s="8">
        <v>3.44</v>
      </c>
      <c r="E36" s="12">
        <v>30</v>
      </c>
      <c r="F36" s="8">
        <v>3.61</v>
      </c>
      <c r="G36" s="12">
        <v>13</v>
      </c>
      <c r="H36" s="8">
        <v>3.13</v>
      </c>
      <c r="I36" s="12">
        <v>0</v>
      </c>
    </row>
    <row r="37" spans="2:9" ht="15" customHeight="1" x14ac:dyDescent="0.15">
      <c r="B37" t="s">
        <v>92</v>
      </c>
      <c r="C37" s="12">
        <v>38</v>
      </c>
      <c r="D37" s="8">
        <v>3.04</v>
      </c>
      <c r="E37" s="12">
        <v>32</v>
      </c>
      <c r="F37" s="8">
        <v>3.86</v>
      </c>
      <c r="G37" s="12">
        <v>6</v>
      </c>
      <c r="H37" s="8">
        <v>1.45</v>
      </c>
      <c r="I37" s="12">
        <v>0</v>
      </c>
    </row>
    <row r="38" spans="2:9" ht="15" customHeight="1" x14ac:dyDescent="0.15">
      <c r="B38" t="s">
        <v>80</v>
      </c>
      <c r="C38" s="12">
        <v>35</v>
      </c>
      <c r="D38" s="8">
        <v>2.8</v>
      </c>
      <c r="E38" s="12">
        <v>22</v>
      </c>
      <c r="F38" s="8">
        <v>2.65</v>
      </c>
      <c r="G38" s="12">
        <v>11</v>
      </c>
      <c r="H38" s="8">
        <v>2.65</v>
      </c>
      <c r="I38" s="12">
        <v>2</v>
      </c>
    </row>
    <row r="39" spans="2:9" ht="15" customHeight="1" x14ac:dyDescent="0.15">
      <c r="B39" t="s">
        <v>75</v>
      </c>
      <c r="C39" s="12">
        <v>33</v>
      </c>
      <c r="D39" s="8">
        <v>2.64</v>
      </c>
      <c r="E39" s="12">
        <v>17</v>
      </c>
      <c r="F39" s="8">
        <v>2.0499999999999998</v>
      </c>
      <c r="G39" s="12">
        <v>16</v>
      </c>
      <c r="H39" s="8">
        <v>3.86</v>
      </c>
      <c r="I39" s="12">
        <v>0</v>
      </c>
    </row>
    <row r="40" spans="2:9" ht="15" customHeight="1" x14ac:dyDescent="0.15">
      <c r="B40" t="s">
        <v>81</v>
      </c>
      <c r="C40" s="12">
        <v>32</v>
      </c>
      <c r="D40" s="8">
        <v>2.56</v>
      </c>
      <c r="E40" s="12">
        <v>25</v>
      </c>
      <c r="F40" s="8">
        <v>3.01</v>
      </c>
      <c r="G40" s="12">
        <v>7</v>
      </c>
      <c r="H40" s="8">
        <v>1.69</v>
      </c>
      <c r="I40" s="12">
        <v>0</v>
      </c>
    </row>
    <row r="41" spans="2:9" ht="15" customHeight="1" x14ac:dyDescent="0.15">
      <c r="B41" t="s">
        <v>112</v>
      </c>
      <c r="C41" s="12">
        <v>31</v>
      </c>
      <c r="D41" s="8">
        <v>2.48</v>
      </c>
      <c r="E41" s="12">
        <v>25</v>
      </c>
      <c r="F41" s="8">
        <v>3.01</v>
      </c>
      <c r="G41" s="12">
        <v>6</v>
      </c>
      <c r="H41" s="8">
        <v>1.45</v>
      </c>
      <c r="I41" s="12">
        <v>0</v>
      </c>
    </row>
    <row r="42" spans="2:9" ht="15" customHeight="1" x14ac:dyDescent="0.15">
      <c r="B42" t="s">
        <v>113</v>
      </c>
      <c r="C42" s="12">
        <v>29</v>
      </c>
      <c r="D42" s="8">
        <v>2.3199999999999998</v>
      </c>
      <c r="E42" s="12">
        <v>25</v>
      </c>
      <c r="F42" s="8">
        <v>3.01</v>
      </c>
      <c r="G42" s="12">
        <v>4</v>
      </c>
      <c r="H42" s="8">
        <v>0.96</v>
      </c>
      <c r="I42" s="12">
        <v>0</v>
      </c>
    </row>
    <row r="43" spans="2:9" ht="15" customHeight="1" x14ac:dyDescent="0.15">
      <c r="B43" t="s">
        <v>78</v>
      </c>
      <c r="C43" s="12">
        <v>29</v>
      </c>
      <c r="D43" s="8">
        <v>2.3199999999999998</v>
      </c>
      <c r="E43" s="12">
        <v>14</v>
      </c>
      <c r="F43" s="8">
        <v>1.69</v>
      </c>
      <c r="G43" s="12">
        <v>15</v>
      </c>
      <c r="H43" s="8">
        <v>3.61</v>
      </c>
      <c r="I43" s="12">
        <v>0</v>
      </c>
    </row>
    <row r="44" spans="2:9" ht="15" customHeight="1" x14ac:dyDescent="0.15">
      <c r="B44" t="s">
        <v>87</v>
      </c>
      <c r="C44" s="12">
        <v>27</v>
      </c>
      <c r="D44" s="8">
        <v>2.16</v>
      </c>
      <c r="E44" s="12">
        <v>20</v>
      </c>
      <c r="F44" s="8">
        <v>2.41</v>
      </c>
      <c r="G44" s="12">
        <v>7</v>
      </c>
      <c r="H44" s="8">
        <v>1.69</v>
      </c>
      <c r="I44" s="12">
        <v>0</v>
      </c>
    </row>
    <row r="45" spans="2:9" ht="15" customHeight="1" x14ac:dyDescent="0.15">
      <c r="B45" t="s">
        <v>93</v>
      </c>
      <c r="C45" s="12">
        <v>26</v>
      </c>
      <c r="D45" s="8">
        <v>2.08</v>
      </c>
      <c r="E45" s="12">
        <v>26</v>
      </c>
      <c r="F45" s="8">
        <v>3.13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76</v>
      </c>
      <c r="C46" s="12">
        <v>24</v>
      </c>
      <c r="D46" s="8">
        <v>1.92</v>
      </c>
      <c r="E46" s="12">
        <v>17</v>
      </c>
      <c r="F46" s="8">
        <v>2.0499999999999998</v>
      </c>
      <c r="G46" s="12">
        <v>7</v>
      </c>
      <c r="H46" s="8">
        <v>1.69</v>
      </c>
      <c r="I46" s="12">
        <v>0</v>
      </c>
    </row>
    <row r="47" spans="2:9" ht="15" customHeight="1" x14ac:dyDescent="0.15">
      <c r="B47" t="s">
        <v>101</v>
      </c>
      <c r="C47" s="12">
        <v>22</v>
      </c>
      <c r="D47" s="8">
        <v>1.76</v>
      </c>
      <c r="E47" s="12">
        <v>16</v>
      </c>
      <c r="F47" s="8">
        <v>1.93</v>
      </c>
      <c r="G47" s="12">
        <v>6</v>
      </c>
      <c r="H47" s="8">
        <v>1.45</v>
      </c>
      <c r="I47" s="12">
        <v>0</v>
      </c>
    </row>
    <row r="48" spans="2:9" ht="15" customHeight="1" x14ac:dyDescent="0.15">
      <c r="B48" t="s">
        <v>88</v>
      </c>
      <c r="C48" s="12">
        <v>21</v>
      </c>
      <c r="D48" s="8">
        <v>1.68</v>
      </c>
      <c r="E48" s="12">
        <v>16</v>
      </c>
      <c r="F48" s="8">
        <v>1.93</v>
      </c>
      <c r="G48" s="12">
        <v>5</v>
      </c>
      <c r="H48" s="8">
        <v>1.2</v>
      </c>
      <c r="I48" s="12">
        <v>0</v>
      </c>
    </row>
    <row r="51" spans="2:9" ht="33" customHeight="1" x14ac:dyDescent="0.15">
      <c r="B51" t="s">
        <v>244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177</v>
      </c>
      <c r="C52" s="12">
        <v>90</v>
      </c>
      <c r="D52" s="8">
        <v>7.21</v>
      </c>
      <c r="E52" s="12">
        <v>74</v>
      </c>
      <c r="F52" s="8">
        <v>8.92</v>
      </c>
      <c r="G52" s="12">
        <v>16</v>
      </c>
      <c r="H52" s="8">
        <v>3.86</v>
      </c>
      <c r="I52" s="12">
        <v>0</v>
      </c>
    </row>
    <row r="53" spans="2:9" ht="15" customHeight="1" x14ac:dyDescent="0.15">
      <c r="B53" t="s">
        <v>141</v>
      </c>
      <c r="C53" s="12">
        <v>49</v>
      </c>
      <c r="D53" s="8">
        <v>3.92</v>
      </c>
      <c r="E53" s="12">
        <v>45</v>
      </c>
      <c r="F53" s="8">
        <v>5.42</v>
      </c>
      <c r="G53" s="12">
        <v>4</v>
      </c>
      <c r="H53" s="8">
        <v>0.96</v>
      </c>
      <c r="I53" s="12">
        <v>0</v>
      </c>
    </row>
    <row r="54" spans="2:9" ht="15" customHeight="1" x14ac:dyDescent="0.15">
      <c r="B54" t="s">
        <v>134</v>
      </c>
      <c r="C54" s="12">
        <v>33</v>
      </c>
      <c r="D54" s="8">
        <v>2.64</v>
      </c>
      <c r="E54" s="12">
        <v>21</v>
      </c>
      <c r="F54" s="8">
        <v>2.5299999999999998</v>
      </c>
      <c r="G54" s="12">
        <v>12</v>
      </c>
      <c r="H54" s="8">
        <v>2.89</v>
      </c>
      <c r="I54" s="12">
        <v>0</v>
      </c>
    </row>
    <row r="55" spans="2:9" ht="15" customHeight="1" x14ac:dyDescent="0.15">
      <c r="B55" t="s">
        <v>125</v>
      </c>
      <c r="C55" s="12">
        <v>32</v>
      </c>
      <c r="D55" s="8">
        <v>2.56</v>
      </c>
      <c r="E55" s="12">
        <v>12</v>
      </c>
      <c r="F55" s="8">
        <v>1.45</v>
      </c>
      <c r="G55" s="12">
        <v>20</v>
      </c>
      <c r="H55" s="8">
        <v>4.82</v>
      </c>
      <c r="I55" s="12">
        <v>0</v>
      </c>
    </row>
    <row r="56" spans="2:9" ht="15" customHeight="1" x14ac:dyDescent="0.15">
      <c r="B56" t="s">
        <v>130</v>
      </c>
      <c r="C56" s="12">
        <v>30</v>
      </c>
      <c r="D56" s="8">
        <v>2.4</v>
      </c>
      <c r="E56" s="12">
        <v>21</v>
      </c>
      <c r="F56" s="8">
        <v>2.5299999999999998</v>
      </c>
      <c r="G56" s="12">
        <v>9</v>
      </c>
      <c r="H56" s="8">
        <v>2.17</v>
      </c>
      <c r="I56" s="12">
        <v>0</v>
      </c>
    </row>
    <row r="57" spans="2:9" ht="15" customHeight="1" x14ac:dyDescent="0.15">
      <c r="B57" t="s">
        <v>132</v>
      </c>
      <c r="C57" s="12">
        <v>29</v>
      </c>
      <c r="D57" s="8">
        <v>2.3199999999999998</v>
      </c>
      <c r="E57" s="12">
        <v>17</v>
      </c>
      <c r="F57" s="8">
        <v>2.0499999999999998</v>
      </c>
      <c r="G57" s="12">
        <v>12</v>
      </c>
      <c r="H57" s="8">
        <v>2.89</v>
      </c>
      <c r="I57" s="12">
        <v>0</v>
      </c>
    </row>
    <row r="58" spans="2:9" ht="15" customHeight="1" x14ac:dyDescent="0.15">
      <c r="B58" t="s">
        <v>162</v>
      </c>
      <c r="C58" s="12">
        <v>28</v>
      </c>
      <c r="D58" s="8">
        <v>2.2400000000000002</v>
      </c>
      <c r="E58" s="12">
        <v>19</v>
      </c>
      <c r="F58" s="8">
        <v>2.29</v>
      </c>
      <c r="G58" s="12">
        <v>8</v>
      </c>
      <c r="H58" s="8">
        <v>1.93</v>
      </c>
      <c r="I58" s="12">
        <v>1</v>
      </c>
    </row>
    <row r="59" spans="2:9" ht="15" customHeight="1" x14ac:dyDescent="0.15">
      <c r="B59" t="s">
        <v>140</v>
      </c>
      <c r="C59" s="12">
        <v>28</v>
      </c>
      <c r="D59" s="8">
        <v>2.2400000000000002</v>
      </c>
      <c r="E59" s="12">
        <v>26</v>
      </c>
      <c r="F59" s="8">
        <v>3.13</v>
      </c>
      <c r="G59" s="12">
        <v>2</v>
      </c>
      <c r="H59" s="8">
        <v>0.48</v>
      </c>
      <c r="I59" s="12">
        <v>0</v>
      </c>
    </row>
    <row r="60" spans="2:9" ht="15" customHeight="1" x14ac:dyDescent="0.15">
      <c r="B60" t="s">
        <v>137</v>
      </c>
      <c r="C60" s="12">
        <v>27</v>
      </c>
      <c r="D60" s="8">
        <v>2.16</v>
      </c>
      <c r="E60" s="12">
        <v>27</v>
      </c>
      <c r="F60" s="8">
        <v>3.25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138</v>
      </c>
      <c r="C61" s="12">
        <v>24</v>
      </c>
      <c r="D61" s="8">
        <v>1.92</v>
      </c>
      <c r="E61" s="12">
        <v>22</v>
      </c>
      <c r="F61" s="8">
        <v>2.65</v>
      </c>
      <c r="G61" s="12">
        <v>2</v>
      </c>
      <c r="H61" s="8">
        <v>0.48</v>
      </c>
      <c r="I61" s="12">
        <v>0</v>
      </c>
    </row>
    <row r="62" spans="2:9" ht="15" customHeight="1" x14ac:dyDescent="0.15">
      <c r="B62" t="s">
        <v>143</v>
      </c>
      <c r="C62" s="12">
        <v>22</v>
      </c>
      <c r="D62" s="8">
        <v>1.76</v>
      </c>
      <c r="E62" s="12">
        <v>18</v>
      </c>
      <c r="F62" s="8">
        <v>2.17</v>
      </c>
      <c r="G62" s="12">
        <v>4</v>
      </c>
      <c r="H62" s="8">
        <v>0.96</v>
      </c>
      <c r="I62" s="12">
        <v>0</v>
      </c>
    </row>
    <row r="63" spans="2:9" ht="15" customHeight="1" x14ac:dyDescent="0.15">
      <c r="B63" t="s">
        <v>144</v>
      </c>
      <c r="C63" s="12">
        <v>21</v>
      </c>
      <c r="D63" s="8">
        <v>1.68</v>
      </c>
      <c r="E63" s="12">
        <v>21</v>
      </c>
      <c r="F63" s="8">
        <v>2.5299999999999998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126</v>
      </c>
      <c r="C64" s="12">
        <v>20</v>
      </c>
      <c r="D64" s="8">
        <v>1.6</v>
      </c>
      <c r="E64" s="12">
        <v>11</v>
      </c>
      <c r="F64" s="8">
        <v>1.33</v>
      </c>
      <c r="G64" s="12">
        <v>9</v>
      </c>
      <c r="H64" s="8">
        <v>2.17</v>
      </c>
      <c r="I64" s="12">
        <v>0</v>
      </c>
    </row>
    <row r="65" spans="2:9" ht="15" customHeight="1" x14ac:dyDescent="0.15">
      <c r="B65" t="s">
        <v>128</v>
      </c>
      <c r="C65" s="12">
        <v>19</v>
      </c>
      <c r="D65" s="8">
        <v>1.52</v>
      </c>
      <c r="E65" s="12">
        <v>14</v>
      </c>
      <c r="F65" s="8">
        <v>1.69</v>
      </c>
      <c r="G65" s="12">
        <v>5</v>
      </c>
      <c r="H65" s="8">
        <v>1.2</v>
      </c>
      <c r="I65" s="12">
        <v>0</v>
      </c>
    </row>
    <row r="66" spans="2:9" ht="15" customHeight="1" x14ac:dyDescent="0.15">
      <c r="B66" t="s">
        <v>167</v>
      </c>
      <c r="C66" s="12">
        <v>18</v>
      </c>
      <c r="D66" s="8">
        <v>1.44</v>
      </c>
      <c r="E66" s="12">
        <v>13</v>
      </c>
      <c r="F66" s="8">
        <v>1.57</v>
      </c>
      <c r="G66" s="12">
        <v>5</v>
      </c>
      <c r="H66" s="8">
        <v>1.2</v>
      </c>
      <c r="I66" s="12">
        <v>0</v>
      </c>
    </row>
    <row r="67" spans="2:9" ht="15" customHeight="1" x14ac:dyDescent="0.15">
      <c r="B67" t="s">
        <v>131</v>
      </c>
      <c r="C67" s="12">
        <v>18</v>
      </c>
      <c r="D67" s="8">
        <v>1.44</v>
      </c>
      <c r="E67" s="12">
        <v>9</v>
      </c>
      <c r="F67" s="8">
        <v>1.08</v>
      </c>
      <c r="G67" s="12">
        <v>9</v>
      </c>
      <c r="H67" s="8">
        <v>2.17</v>
      </c>
      <c r="I67" s="12">
        <v>0</v>
      </c>
    </row>
    <row r="68" spans="2:9" ht="15" customHeight="1" x14ac:dyDescent="0.15">
      <c r="B68" t="s">
        <v>166</v>
      </c>
      <c r="C68" s="12">
        <v>18</v>
      </c>
      <c r="D68" s="8">
        <v>1.44</v>
      </c>
      <c r="E68" s="12">
        <v>16</v>
      </c>
      <c r="F68" s="8">
        <v>1.93</v>
      </c>
      <c r="G68" s="12">
        <v>2</v>
      </c>
      <c r="H68" s="8">
        <v>0.48</v>
      </c>
      <c r="I68" s="12">
        <v>0</v>
      </c>
    </row>
    <row r="69" spans="2:9" ht="15" customHeight="1" x14ac:dyDescent="0.15">
      <c r="B69" t="s">
        <v>178</v>
      </c>
      <c r="C69" s="12">
        <v>17</v>
      </c>
      <c r="D69" s="8">
        <v>1.36</v>
      </c>
      <c r="E69" s="12">
        <v>16</v>
      </c>
      <c r="F69" s="8">
        <v>1.93</v>
      </c>
      <c r="G69" s="12">
        <v>1</v>
      </c>
      <c r="H69" s="8">
        <v>0.24</v>
      </c>
      <c r="I69" s="12">
        <v>0</v>
      </c>
    </row>
    <row r="70" spans="2:9" ht="15" customHeight="1" x14ac:dyDescent="0.15">
      <c r="B70" t="s">
        <v>135</v>
      </c>
      <c r="C70" s="12">
        <v>17</v>
      </c>
      <c r="D70" s="8">
        <v>1.36</v>
      </c>
      <c r="E70" s="12">
        <v>16</v>
      </c>
      <c r="F70" s="8">
        <v>1.93</v>
      </c>
      <c r="G70" s="12">
        <v>1</v>
      </c>
      <c r="H70" s="8">
        <v>0.24</v>
      </c>
      <c r="I70" s="12">
        <v>0</v>
      </c>
    </row>
    <row r="71" spans="2:9" ht="15" customHeight="1" x14ac:dyDescent="0.15">
      <c r="B71" t="s">
        <v>127</v>
      </c>
      <c r="C71" s="12">
        <v>15</v>
      </c>
      <c r="D71" s="8">
        <v>1.2</v>
      </c>
      <c r="E71" s="12">
        <v>11</v>
      </c>
      <c r="F71" s="8">
        <v>1.33</v>
      </c>
      <c r="G71" s="12">
        <v>4</v>
      </c>
      <c r="H71" s="8">
        <v>0.96</v>
      </c>
      <c r="I71" s="12">
        <v>0</v>
      </c>
    </row>
    <row r="72" spans="2:9" ht="15" customHeight="1" x14ac:dyDescent="0.15">
      <c r="B72" t="s">
        <v>136</v>
      </c>
      <c r="C72" s="12">
        <v>15</v>
      </c>
      <c r="D72" s="8">
        <v>1.2</v>
      </c>
      <c r="E72" s="12">
        <v>14</v>
      </c>
      <c r="F72" s="8">
        <v>1.69</v>
      </c>
      <c r="G72" s="12">
        <v>1</v>
      </c>
      <c r="H72" s="8">
        <v>0.24</v>
      </c>
      <c r="I72" s="12">
        <v>0</v>
      </c>
    </row>
    <row r="74" spans="2:9" ht="15" customHeight="1" x14ac:dyDescent="0.15">
      <c r="B74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325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184</v>
      </c>
      <c r="D6" s="8">
        <v>13.38</v>
      </c>
      <c r="E6" s="12">
        <v>40</v>
      </c>
      <c r="F6" s="8">
        <v>6.08</v>
      </c>
      <c r="G6" s="12">
        <v>144</v>
      </c>
      <c r="H6" s="8">
        <v>20.11</v>
      </c>
      <c r="I6" s="12">
        <v>0</v>
      </c>
    </row>
    <row r="7" spans="2:9" ht="15" customHeight="1" x14ac:dyDescent="0.15">
      <c r="B7" t="s">
        <v>53</v>
      </c>
      <c r="C7" s="12">
        <v>74</v>
      </c>
      <c r="D7" s="8">
        <v>5.38</v>
      </c>
      <c r="E7" s="12">
        <v>25</v>
      </c>
      <c r="F7" s="8">
        <v>3.8</v>
      </c>
      <c r="G7" s="12">
        <v>49</v>
      </c>
      <c r="H7" s="8">
        <v>6.84</v>
      </c>
      <c r="I7" s="12">
        <v>0</v>
      </c>
    </row>
    <row r="8" spans="2:9" ht="15" customHeight="1" x14ac:dyDescent="0.15">
      <c r="B8" t="s">
        <v>54</v>
      </c>
      <c r="C8" s="12">
        <v>1</v>
      </c>
      <c r="D8" s="8">
        <v>7.0000000000000007E-2</v>
      </c>
      <c r="E8" s="12">
        <v>0</v>
      </c>
      <c r="F8" s="8">
        <v>0</v>
      </c>
      <c r="G8" s="12">
        <v>1</v>
      </c>
      <c r="H8" s="8">
        <v>0.14000000000000001</v>
      </c>
      <c r="I8" s="12">
        <v>0</v>
      </c>
    </row>
    <row r="9" spans="2:9" ht="15" customHeight="1" x14ac:dyDescent="0.15">
      <c r="B9" t="s">
        <v>55</v>
      </c>
      <c r="C9" s="12">
        <v>16</v>
      </c>
      <c r="D9" s="8">
        <v>1.1599999999999999</v>
      </c>
      <c r="E9" s="12">
        <v>0</v>
      </c>
      <c r="F9" s="8">
        <v>0</v>
      </c>
      <c r="G9" s="12">
        <v>16</v>
      </c>
      <c r="H9" s="8">
        <v>2.23</v>
      </c>
      <c r="I9" s="12">
        <v>0</v>
      </c>
    </row>
    <row r="10" spans="2:9" ht="15" customHeight="1" x14ac:dyDescent="0.15">
      <c r="B10" t="s">
        <v>56</v>
      </c>
      <c r="C10" s="12">
        <v>13</v>
      </c>
      <c r="D10" s="8">
        <v>0.95</v>
      </c>
      <c r="E10" s="12">
        <v>0</v>
      </c>
      <c r="F10" s="8">
        <v>0</v>
      </c>
      <c r="G10" s="12">
        <v>13</v>
      </c>
      <c r="H10" s="8">
        <v>1.82</v>
      </c>
      <c r="I10" s="12">
        <v>0</v>
      </c>
    </row>
    <row r="11" spans="2:9" ht="15" customHeight="1" x14ac:dyDescent="0.15">
      <c r="B11" t="s">
        <v>57</v>
      </c>
      <c r="C11" s="12">
        <v>350</v>
      </c>
      <c r="D11" s="8">
        <v>25.45</v>
      </c>
      <c r="E11" s="12">
        <v>173</v>
      </c>
      <c r="F11" s="8">
        <v>26.29</v>
      </c>
      <c r="G11" s="12">
        <v>177</v>
      </c>
      <c r="H11" s="8">
        <v>24.72</v>
      </c>
      <c r="I11" s="12">
        <v>0</v>
      </c>
    </row>
    <row r="12" spans="2:9" ht="15" customHeight="1" x14ac:dyDescent="0.15">
      <c r="B12" t="s">
        <v>58</v>
      </c>
      <c r="C12" s="12">
        <v>7</v>
      </c>
      <c r="D12" s="8">
        <v>0.51</v>
      </c>
      <c r="E12" s="12">
        <v>2</v>
      </c>
      <c r="F12" s="8">
        <v>0.3</v>
      </c>
      <c r="G12" s="12">
        <v>5</v>
      </c>
      <c r="H12" s="8">
        <v>0.7</v>
      </c>
      <c r="I12" s="12">
        <v>0</v>
      </c>
    </row>
    <row r="13" spans="2:9" ht="15" customHeight="1" x14ac:dyDescent="0.15">
      <c r="B13" t="s">
        <v>59</v>
      </c>
      <c r="C13" s="12">
        <v>135</v>
      </c>
      <c r="D13" s="8">
        <v>9.82</v>
      </c>
      <c r="E13" s="12">
        <v>40</v>
      </c>
      <c r="F13" s="8">
        <v>6.08</v>
      </c>
      <c r="G13" s="12">
        <v>95</v>
      </c>
      <c r="H13" s="8">
        <v>13.27</v>
      </c>
      <c r="I13" s="12">
        <v>0</v>
      </c>
    </row>
    <row r="14" spans="2:9" ht="15" customHeight="1" x14ac:dyDescent="0.15">
      <c r="B14" t="s">
        <v>60</v>
      </c>
      <c r="C14" s="12">
        <v>87</v>
      </c>
      <c r="D14" s="8">
        <v>6.33</v>
      </c>
      <c r="E14" s="12">
        <v>51</v>
      </c>
      <c r="F14" s="8">
        <v>7.75</v>
      </c>
      <c r="G14" s="12">
        <v>36</v>
      </c>
      <c r="H14" s="8">
        <v>5.03</v>
      </c>
      <c r="I14" s="12">
        <v>0</v>
      </c>
    </row>
    <row r="15" spans="2:9" ht="15" customHeight="1" x14ac:dyDescent="0.15">
      <c r="B15" t="s">
        <v>61</v>
      </c>
      <c r="C15" s="12">
        <v>150</v>
      </c>
      <c r="D15" s="8">
        <v>10.91</v>
      </c>
      <c r="E15" s="12">
        <v>110</v>
      </c>
      <c r="F15" s="8">
        <v>16.72</v>
      </c>
      <c r="G15" s="12">
        <v>40</v>
      </c>
      <c r="H15" s="8">
        <v>5.59</v>
      </c>
      <c r="I15" s="12">
        <v>0</v>
      </c>
    </row>
    <row r="16" spans="2:9" ht="15" customHeight="1" x14ac:dyDescent="0.15">
      <c r="B16" t="s">
        <v>62</v>
      </c>
      <c r="C16" s="12">
        <v>171</v>
      </c>
      <c r="D16" s="8">
        <v>12.44</v>
      </c>
      <c r="E16" s="12">
        <v>118</v>
      </c>
      <c r="F16" s="8">
        <v>17.93</v>
      </c>
      <c r="G16" s="12">
        <v>53</v>
      </c>
      <c r="H16" s="8">
        <v>7.4</v>
      </c>
      <c r="I16" s="12">
        <v>0</v>
      </c>
    </row>
    <row r="17" spans="2:9" ht="15" customHeight="1" x14ac:dyDescent="0.15">
      <c r="B17" t="s">
        <v>63</v>
      </c>
      <c r="C17" s="12">
        <v>65</v>
      </c>
      <c r="D17" s="8">
        <v>4.7300000000000004</v>
      </c>
      <c r="E17" s="12">
        <v>42</v>
      </c>
      <c r="F17" s="8">
        <v>6.38</v>
      </c>
      <c r="G17" s="12">
        <v>23</v>
      </c>
      <c r="H17" s="8">
        <v>3.21</v>
      </c>
      <c r="I17" s="12">
        <v>0</v>
      </c>
    </row>
    <row r="18" spans="2:9" ht="15" customHeight="1" x14ac:dyDescent="0.15">
      <c r="B18" t="s">
        <v>64</v>
      </c>
      <c r="C18" s="12">
        <v>67</v>
      </c>
      <c r="D18" s="8">
        <v>4.87</v>
      </c>
      <c r="E18" s="12">
        <v>36</v>
      </c>
      <c r="F18" s="8">
        <v>5.47</v>
      </c>
      <c r="G18" s="12">
        <v>30</v>
      </c>
      <c r="H18" s="8">
        <v>4.1900000000000004</v>
      </c>
      <c r="I18" s="12">
        <v>1</v>
      </c>
    </row>
    <row r="19" spans="2:9" ht="15" customHeight="1" x14ac:dyDescent="0.15">
      <c r="B19" t="s">
        <v>65</v>
      </c>
      <c r="C19" s="12">
        <v>55</v>
      </c>
      <c r="D19" s="8">
        <v>4</v>
      </c>
      <c r="E19" s="12">
        <v>21</v>
      </c>
      <c r="F19" s="8">
        <v>3.19</v>
      </c>
      <c r="G19" s="12">
        <v>34</v>
      </c>
      <c r="H19" s="8">
        <v>4.75</v>
      </c>
      <c r="I19" s="12">
        <v>0</v>
      </c>
    </row>
    <row r="20" spans="2:9" ht="15" customHeight="1" x14ac:dyDescent="0.15">
      <c r="B20" s="9" t="s">
        <v>215</v>
      </c>
      <c r="C20" s="12">
        <f>SUM(LTBL_28219[総数／事業所数])</f>
        <v>1375</v>
      </c>
      <c r="E20" s="12">
        <f>SUBTOTAL(109,LTBL_28219[個人／事業所数])</f>
        <v>658</v>
      </c>
      <c r="G20" s="12">
        <f>SUBTOTAL(109,LTBL_28219[法人／事業所数])</f>
        <v>716</v>
      </c>
      <c r="I20" s="12">
        <f>SUBTOTAL(109,LTBL_28219[法人以外の団体／事業所数])</f>
        <v>1</v>
      </c>
    </row>
    <row r="21" spans="2:9" ht="15" customHeight="1" x14ac:dyDescent="0.15">
      <c r="E21" s="11">
        <f>LTBL_28219[[#Totals],[個人／事業所数]]/LTBL_28219[[#Totals],[総数／事業所数]]</f>
        <v>0.47854545454545455</v>
      </c>
      <c r="G21" s="11">
        <f>LTBL_28219[[#Totals],[法人／事業所数]]/LTBL_28219[[#Totals],[総数／事業所数]]</f>
        <v>0.52072727272727271</v>
      </c>
      <c r="I21" s="11">
        <f>LTBL_28219[[#Totals],[法人以外の団体／事業所数]]/LTBL_28219[[#Totals],[総数／事業所数]]</f>
        <v>7.2727272727272723E-4</v>
      </c>
    </row>
    <row r="23" spans="2:9" ht="33" customHeight="1" x14ac:dyDescent="0.15">
      <c r="B23" t="s">
        <v>214</v>
      </c>
      <c r="C23" s="10" t="s">
        <v>67</v>
      </c>
      <c r="D23" s="10" t="s">
        <v>326</v>
      </c>
      <c r="E23" s="10" t="s">
        <v>69</v>
      </c>
      <c r="F23" s="10" t="s">
        <v>222</v>
      </c>
      <c r="G23" s="10" t="s">
        <v>71</v>
      </c>
      <c r="H23" s="10" t="s">
        <v>313</v>
      </c>
      <c r="I23" s="10" t="s">
        <v>73</v>
      </c>
    </row>
    <row r="24" spans="2:9" ht="15" customHeight="1" x14ac:dyDescent="0.15">
      <c r="B24" t="s">
        <v>217</v>
      </c>
      <c r="C24">
        <v>8</v>
      </c>
      <c r="D24" t="s">
        <v>216</v>
      </c>
      <c r="E24">
        <v>0</v>
      </c>
      <c r="F24" t="s">
        <v>218</v>
      </c>
      <c r="G24">
        <v>8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229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90</v>
      </c>
      <c r="C29" s="12">
        <v>139</v>
      </c>
      <c r="D29" s="8">
        <v>10.11</v>
      </c>
      <c r="E29" s="12">
        <v>109</v>
      </c>
      <c r="F29" s="8">
        <v>16.57</v>
      </c>
      <c r="G29" s="12">
        <v>30</v>
      </c>
      <c r="H29" s="8">
        <v>4.1900000000000004</v>
      </c>
      <c r="I29" s="12">
        <v>0</v>
      </c>
    </row>
    <row r="30" spans="2:9" ht="15" customHeight="1" x14ac:dyDescent="0.15">
      <c r="B30" t="s">
        <v>89</v>
      </c>
      <c r="C30" s="12">
        <v>128</v>
      </c>
      <c r="D30" s="8">
        <v>9.31</v>
      </c>
      <c r="E30" s="12">
        <v>106</v>
      </c>
      <c r="F30" s="8">
        <v>16.11</v>
      </c>
      <c r="G30" s="12">
        <v>22</v>
      </c>
      <c r="H30" s="8">
        <v>3.07</v>
      </c>
      <c r="I30" s="12">
        <v>0</v>
      </c>
    </row>
    <row r="31" spans="2:9" ht="15" customHeight="1" x14ac:dyDescent="0.15">
      <c r="B31" t="s">
        <v>84</v>
      </c>
      <c r="C31" s="12">
        <v>117</v>
      </c>
      <c r="D31" s="8">
        <v>8.51</v>
      </c>
      <c r="E31" s="12">
        <v>61</v>
      </c>
      <c r="F31" s="8">
        <v>9.27</v>
      </c>
      <c r="G31" s="12">
        <v>56</v>
      </c>
      <c r="H31" s="8">
        <v>7.82</v>
      </c>
      <c r="I31" s="12">
        <v>0</v>
      </c>
    </row>
    <row r="32" spans="2:9" ht="15" customHeight="1" x14ac:dyDescent="0.15">
      <c r="B32" t="s">
        <v>86</v>
      </c>
      <c r="C32" s="12">
        <v>110</v>
      </c>
      <c r="D32" s="8">
        <v>8</v>
      </c>
      <c r="E32" s="12">
        <v>37</v>
      </c>
      <c r="F32" s="8">
        <v>5.62</v>
      </c>
      <c r="G32" s="12">
        <v>73</v>
      </c>
      <c r="H32" s="8">
        <v>10.199999999999999</v>
      </c>
      <c r="I32" s="12">
        <v>0</v>
      </c>
    </row>
    <row r="33" spans="2:9" ht="15" customHeight="1" x14ac:dyDescent="0.15">
      <c r="B33" t="s">
        <v>74</v>
      </c>
      <c r="C33" s="12">
        <v>102</v>
      </c>
      <c r="D33" s="8">
        <v>7.42</v>
      </c>
      <c r="E33" s="12">
        <v>15</v>
      </c>
      <c r="F33" s="8">
        <v>2.2799999999999998</v>
      </c>
      <c r="G33" s="12">
        <v>87</v>
      </c>
      <c r="H33" s="8">
        <v>12.15</v>
      </c>
      <c r="I33" s="12">
        <v>0</v>
      </c>
    </row>
    <row r="34" spans="2:9" ht="15" customHeight="1" x14ac:dyDescent="0.15">
      <c r="B34" t="s">
        <v>82</v>
      </c>
      <c r="C34" s="12">
        <v>66</v>
      </c>
      <c r="D34" s="8">
        <v>4.8</v>
      </c>
      <c r="E34" s="12">
        <v>52</v>
      </c>
      <c r="F34" s="8">
        <v>7.9</v>
      </c>
      <c r="G34" s="12">
        <v>14</v>
      </c>
      <c r="H34" s="8">
        <v>1.96</v>
      </c>
      <c r="I34" s="12">
        <v>0</v>
      </c>
    </row>
    <row r="35" spans="2:9" ht="15" customHeight="1" x14ac:dyDescent="0.15">
      <c r="B35" t="s">
        <v>92</v>
      </c>
      <c r="C35" s="12">
        <v>65</v>
      </c>
      <c r="D35" s="8">
        <v>4.7300000000000004</v>
      </c>
      <c r="E35" s="12">
        <v>42</v>
      </c>
      <c r="F35" s="8">
        <v>6.38</v>
      </c>
      <c r="G35" s="12">
        <v>23</v>
      </c>
      <c r="H35" s="8">
        <v>3.21</v>
      </c>
      <c r="I35" s="12">
        <v>0</v>
      </c>
    </row>
    <row r="36" spans="2:9" ht="15" customHeight="1" x14ac:dyDescent="0.15">
      <c r="B36" t="s">
        <v>87</v>
      </c>
      <c r="C36" s="12">
        <v>54</v>
      </c>
      <c r="D36" s="8">
        <v>3.93</v>
      </c>
      <c r="E36" s="12">
        <v>36</v>
      </c>
      <c r="F36" s="8">
        <v>5.47</v>
      </c>
      <c r="G36" s="12">
        <v>18</v>
      </c>
      <c r="H36" s="8">
        <v>2.5099999999999998</v>
      </c>
      <c r="I36" s="12">
        <v>0</v>
      </c>
    </row>
    <row r="37" spans="2:9" ht="15" customHeight="1" x14ac:dyDescent="0.15">
      <c r="B37" t="s">
        <v>76</v>
      </c>
      <c r="C37" s="12">
        <v>43</v>
      </c>
      <c r="D37" s="8">
        <v>3.13</v>
      </c>
      <c r="E37" s="12">
        <v>9</v>
      </c>
      <c r="F37" s="8">
        <v>1.37</v>
      </c>
      <c r="G37" s="12">
        <v>34</v>
      </c>
      <c r="H37" s="8">
        <v>4.75</v>
      </c>
      <c r="I37" s="12">
        <v>0</v>
      </c>
    </row>
    <row r="38" spans="2:9" ht="15" customHeight="1" x14ac:dyDescent="0.15">
      <c r="B38" t="s">
        <v>93</v>
      </c>
      <c r="C38" s="12">
        <v>41</v>
      </c>
      <c r="D38" s="8">
        <v>2.98</v>
      </c>
      <c r="E38" s="12">
        <v>35</v>
      </c>
      <c r="F38" s="8">
        <v>5.32</v>
      </c>
      <c r="G38" s="12">
        <v>6</v>
      </c>
      <c r="H38" s="8">
        <v>0.84</v>
      </c>
      <c r="I38" s="12">
        <v>0</v>
      </c>
    </row>
    <row r="39" spans="2:9" ht="15" customHeight="1" x14ac:dyDescent="0.15">
      <c r="B39" t="s">
        <v>83</v>
      </c>
      <c r="C39" s="12">
        <v>40</v>
      </c>
      <c r="D39" s="8">
        <v>2.91</v>
      </c>
      <c r="E39" s="12">
        <v>22</v>
      </c>
      <c r="F39" s="8">
        <v>3.34</v>
      </c>
      <c r="G39" s="12">
        <v>18</v>
      </c>
      <c r="H39" s="8">
        <v>2.5099999999999998</v>
      </c>
      <c r="I39" s="12">
        <v>0</v>
      </c>
    </row>
    <row r="40" spans="2:9" ht="15" customHeight="1" x14ac:dyDescent="0.15">
      <c r="B40" t="s">
        <v>75</v>
      </c>
      <c r="C40" s="12">
        <v>39</v>
      </c>
      <c r="D40" s="8">
        <v>2.84</v>
      </c>
      <c r="E40" s="12">
        <v>16</v>
      </c>
      <c r="F40" s="8">
        <v>2.4300000000000002</v>
      </c>
      <c r="G40" s="12">
        <v>23</v>
      </c>
      <c r="H40" s="8">
        <v>3.21</v>
      </c>
      <c r="I40" s="12">
        <v>0</v>
      </c>
    </row>
    <row r="41" spans="2:9" ht="15" customHeight="1" x14ac:dyDescent="0.15">
      <c r="B41" t="s">
        <v>81</v>
      </c>
      <c r="C41" s="12">
        <v>36</v>
      </c>
      <c r="D41" s="8">
        <v>2.62</v>
      </c>
      <c r="E41" s="12">
        <v>22</v>
      </c>
      <c r="F41" s="8">
        <v>3.34</v>
      </c>
      <c r="G41" s="12">
        <v>14</v>
      </c>
      <c r="H41" s="8">
        <v>1.96</v>
      </c>
      <c r="I41" s="12">
        <v>0</v>
      </c>
    </row>
    <row r="42" spans="2:9" ht="15" customHeight="1" x14ac:dyDescent="0.15">
      <c r="B42" t="s">
        <v>88</v>
      </c>
      <c r="C42" s="12">
        <v>31</v>
      </c>
      <c r="D42" s="8">
        <v>2.25</v>
      </c>
      <c r="E42" s="12">
        <v>15</v>
      </c>
      <c r="F42" s="8">
        <v>2.2799999999999998</v>
      </c>
      <c r="G42" s="12">
        <v>16</v>
      </c>
      <c r="H42" s="8">
        <v>2.23</v>
      </c>
      <c r="I42" s="12">
        <v>0</v>
      </c>
    </row>
    <row r="43" spans="2:9" ht="15" customHeight="1" x14ac:dyDescent="0.15">
      <c r="B43" t="s">
        <v>78</v>
      </c>
      <c r="C43" s="12">
        <v>29</v>
      </c>
      <c r="D43" s="8">
        <v>2.11</v>
      </c>
      <c r="E43" s="12">
        <v>6</v>
      </c>
      <c r="F43" s="8">
        <v>0.91</v>
      </c>
      <c r="G43" s="12">
        <v>23</v>
      </c>
      <c r="H43" s="8">
        <v>3.21</v>
      </c>
      <c r="I43" s="12">
        <v>0</v>
      </c>
    </row>
    <row r="44" spans="2:9" ht="15" customHeight="1" x14ac:dyDescent="0.15">
      <c r="B44" t="s">
        <v>79</v>
      </c>
      <c r="C44" s="12">
        <v>28</v>
      </c>
      <c r="D44" s="8">
        <v>2.04</v>
      </c>
      <c r="E44" s="12">
        <v>0</v>
      </c>
      <c r="F44" s="8">
        <v>0</v>
      </c>
      <c r="G44" s="12">
        <v>28</v>
      </c>
      <c r="H44" s="8">
        <v>3.91</v>
      </c>
      <c r="I44" s="12">
        <v>0</v>
      </c>
    </row>
    <row r="45" spans="2:9" ht="15" customHeight="1" x14ac:dyDescent="0.15">
      <c r="B45" t="s">
        <v>94</v>
      </c>
      <c r="C45" s="12">
        <v>26</v>
      </c>
      <c r="D45" s="8">
        <v>1.89</v>
      </c>
      <c r="E45" s="12">
        <v>1</v>
      </c>
      <c r="F45" s="8">
        <v>0.15</v>
      </c>
      <c r="G45" s="12">
        <v>24</v>
      </c>
      <c r="H45" s="8">
        <v>3.35</v>
      </c>
      <c r="I45" s="12">
        <v>1</v>
      </c>
    </row>
    <row r="46" spans="2:9" ht="15" customHeight="1" x14ac:dyDescent="0.15">
      <c r="B46" t="s">
        <v>91</v>
      </c>
      <c r="C46" s="12">
        <v>24</v>
      </c>
      <c r="D46" s="8">
        <v>1.75</v>
      </c>
      <c r="E46" s="12">
        <v>7</v>
      </c>
      <c r="F46" s="8">
        <v>1.06</v>
      </c>
      <c r="G46" s="12">
        <v>17</v>
      </c>
      <c r="H46" s="8">
        <v>2.37</v>
      </c>
      <c r="I46" s="12">
        <v>0</v>
      </c>
    </row>
    <row r="47" spans="2:9" ht="15" customHeight="1" x14ac:dyDescent="0.15">
      <c r="B47" t="s">
        <v>106</v>
      </c>
      <c r="C47" s="12">
        <v>20</v>
      </c>
      <c r="D47" s="8">
        <v>1.45</v>
      </c>
      <c r="E47" s="12">
        <v>14</v>
      </c>
      <c r="F47" s="8">
        <v>2.13</v>
      </c>
      <c r="G47" s="12">
        <v>6</v>
      </c>
      <c r="H47" s="8">
        <v>0.84</v>
      </c>
      <c r="I47" s="12">
        <v>0</v>
      </c>
    </row>
    <row r="48" spans="2:9" ht="15" customHeight="1" x14ac:dyDescent="0.15">
      <c r="B48" t="s">
        <v>85</v>
      </c>
      <c r="C48" s="12">
        <v>16</v>
      </c>
      <c r="D48" s="8">
        <v>1.1599999999999999</v>
      </c>
      <c r="E48" s="12">
        <v>3</v>
      </c>
      <c r="F48" s="8">
        <v>0.46</v>
      </c>
      <c r="G48" s="12">
        <v>13</v>
      </c>
      <c r="H48" s="8">
        <v>1.82</v>
      </c>
      <c r="I48" s="12">
        <v>0</v>
      </c>
    </row>
    <row r="49" spans="2:9" ht="15" customHeight="1" x14ac:dyDescent="0.15">
      <c r="B49" t="s">
        <v>97</v>
      </c>
      <c r="C49" s="12">
        <v>16</v>
      </c>
      <c r="D49" s="8">
        <v>1.1599999999999999</v>
      </c>
      <c r="E49" s="12">
        <v>0</v>
      </c>
      <c r="F49" s="8">
        <v>0</v>
      </c>
      <c r="G49" s="12">
        <v>16</v>
      </c>
      <c r="H49" s="8">
        <v>2.23</v>
      </c>
      <c r="I49" s="12">
        <v>0</v>
      </c>
    </row>
    <row r="52" spans="2:9" ht="33" customHeight="1" x14ac:dyDescent="0.15">
      <c r="B52" t="s">
        <v>248</v>
      </c>
      <c r="C52" s="10" t="s">
        <v>67</v>
      </c>
      <c r="D52" s="10" t="s">
        <v>68</v>
      </c>
      <c r="E52" s="10" t="s">
        <v>69</v>
      </c>
      <c r="F52" s="10" t="s">
        <v>70</v>
      </c>
      <c r="G52" s="10" t="s">
        <v>71</v>
      </c>
      <c r="H52" s="10" t="s">
        <v>72</v>
      </c>
      <c r="I52" s="10" t="s">
        <v>73</v>
      </c>
    </row>
    <row r="53" spans="2:9" ht="15" customHeight="1" x14ac:dyDescent="0.15">
      <c r="B53" t="s">
        <v>141</v>
      </c>
      <c r="C53" s="12">
        <v>70</v>
      </c>
      <c r="D53" s="8">
        <v>5.09</v>
      </c>
      <c r="E53" s="12">
        <v>61</v>
      </c>
      <c r="F53" s="8">
        <v>9.27</v>
      </c>
      <c r="G53" s="12">
        <v>9</v>
      </c>
      <c r="H53" s="8">
        <v>1.26</v>
      </c>
      <c r="I53" s="12">
        <v>0</v>
      </c>
    </row>
    <row r="54" spans="2:9" ht="15" customHeight="1" x14ac:dyDescent="0.15">
      <c r="B54" t="s">
        <v>125</v>
      </c>
      <c r="C54" s="12">
        <v>44</v>
      </c>
      <c r="D54" s="8">
        <v>3.2</v>
      </c>
      <c r="E54" s="12">
        <v>2</v>
      </c>
      <c r="F54" s="8">
        <v>0.3</v>
      </c>
      <c r="G54" s="12">
        <v>42</v>
      </c>
      <c r="H54" s="8">
        <v>5.87</v>
      </c>
      <c r="I54" s="12">
        <v>0</v>
      </c>
    </row>
    <row r="55" spans="2:9" ht="15" customHeight="1" x14ac:dyDescent="0.15">
      <c r="B55" t="s">
        <v>132</v>
      </c>
      <c r="C55" s="12">
        <v>42</v>
      </c>
      <c r="D55" s="8">
        <v>3.05</v>
      </c>
      <c r="E55" s="12">
        <v>24</v>
      </c>
      <c r="F55" s="8">
        <v>3.65</v>
      </c>
      <c r="G55" s="12">
        <v>18</v>
      </c>
      <c r="H55" s="8">
        <v>2.5099999999999998</v>
      </c>
      <c r="I55" s="12">
        <v>0</v>
      </c>
    </row>
    <row r="56" spans="2:9" ht="15" customHeight="1" x14ac:dyDescent="0.15">
      <c r="B56" t="s">
        <v>135</v>
      </c>
      <c r="C56" s="12">
        <v>41</v>
      </c>
      <c r="D56" s="8">
        <v>2.98</v>
      </c>
      <c r="E56" s="12">
        <v>32</v>
      </c>
      <c r="F56" s="8">
        <v>4.8600000000000003</v>
      </c>
      <c r="G56" s="12">
        <v>9</v>
      </c>
      <c r="H56" s="8">
        <v>1.26</v>
      </c>
      <c r="I56" s="12">
        <v>0</v>
      </c>
    </row>
    <row r="57" spans="2:9" ht="15" customHeight="1" x14ac:dyDescent="0.15">
      <c r="B57" t="s">
        <v>134</v>
      </c>
      <c r="C57" s="12">
        <v>39</v>
      </c>
      <c r="D57" s="8">
        <v>2.84</v>
      </c>
      <c r="E57" s="12">
        <v>9</v>
      </c>
      <c r="F57" s="8">
        <v>1.37</v>
      </c>
      <c r="G57" s="12">
        <v>30</v>
      </c>
      <c r="H57" s="8">
        <v>4.1900000000000004</v>
      </c>
      <c r="I57" s="12">
        <v>0</v>
      </c>
    </row>
    <row r="58" spans="2:9" ht="15" customHeight="1" x14ac:dyDescent="0.15">
      <c r="B58" t="s">
        <v>143</v>
      </c>
      <c r="C58" s="12">
        <v>38</v>
      </c>
      <c r="D58" s="8">
        <v>2.76</v>
      </c>
      <c r="E58" s="12">
        <v>28</v>
      </c>
      <c r="F58" s="8">
        <v>4.26</v>
      </c>
      <c r="G58" s="12">
        <v>10</v>
      </c>
      <c r="H58" s="8">
        <v>1.4</v>
      </c>
      <c r="I58" s="12">
        <v>0</v>
      </c>
    </row>
    <row r="59" spans="2:9" ht="15" customHeight="1" x14ac:dyDescent="0.15">
      <c r="B59" t="s">
        <v>140</v>
      </c>
      <c r="C59" s="12">
        <v>34</v>
      </c>
      <c r="D59" s="8">
        <v>2.4700000000000002</v>
      </c>
      <c r="E59" s="12">
        <v>29</v>
      </c>
      <c r="F59" s="8">
        <v>4.41</v>
      </c>
      <c r="G59" s="12">
        <v>5</v>
      </c>
      <c r="H59" s="8">
        <v>0.7</v>
      </c>
      <c r="I59" s="12">
        <v>0</v>
      </c>
    </row>
    <row r="60" spans="2:9" ht="15" customHeight="1" x14ac:dyDescent="0.15">
      <c r="B60" t="s">
        <v>144</v>
      </c>
      <c r="C60" s="12">
        <v>32</v>
      </c>
      <c r="D60" s="8">
        <v>2.33</v>
      </c>
      <c r="E60" s="12">
        <v>27</v>
      </c>
      <c r="F60" s="8">
        <v>4.0999999999999996</v>
      </c>
      <c r="G60" s="12">
        <v>5</v>
      </c>
      <c r="H60" s="8">
        <v>0.7</v>
      </c>
      <c r="I60" s="12">
        <v>0</v>
      </c>
    </row>
    <row r="61" spans="2:9" ht="15" customHeight="1" x14ac:dyDescent="0.15">
      <c r="B61" t="s">
        <v>148</v>
      </c>
      <c r="C61" s="12">
        <v>27</v>
      </c>
      <c r="D61" s="8">
        <v>1.96</v>
      </c>
      <c r="E61" s="12">
        <v>25</v>
      </c>
      <c r="F61" s="8">
        <v>3.8</v>
      </c>
      <c r="G61" s="12">
        <v>2</v>
      </c>
      <c r="H61" s="8">
        <v>0.28000000000000003</v>
      </c>
      <c r="I61" s="12">
        <v>0</v>
      </c>
    </row>
    <row r="62" spans="2:9" ht="15" customHeight="1" x14ac:dyDescent="0.15">
      <c r="B62" t="s">
        <v>130</v>
      </c>
      <c r="C62" s="12">
        <v>26</v>
      </c>
      <c r="D62" s="8">
        <v>1.89</v>
      </c>
      <c r="E62" s="12">
        <v>16</v>
      </c>
      <c r="F62" s="8">
        <v>2.4300000000000002</v>
      </c>
      <c r="G62" s="12">
        <v>10</v>
      </c>
      <c r="H62" s="8">
        <v>1.4</v>
      </c>
      <c r="I62" s="12">
        <v>0</v>
      </c>
    </row>
    <row r="63" spans="2:9" ht="15" customHeight="1" x14ac:dyDescent="0.15">
      <c r="B63" t="s">
        <v>129</v>
      </c>
      <c r="C63" s="12">
        <v>24</v>
      </c>
      <c r="D63" s="8">
        <v>1.75</v>
      </c>
      <c r="E63" s="12">
        <v>18</v>
      </c>
      <c r="F63" s="8">
        <v>2.74</v>
      </c>
      <c r="G63" s="12">
        <v>6</v>
      </c>
      <c r="H63" s="8">
        <v>0.84</v>
      </c>
      <c r="I63" s="12">
        <v>0</v>
      </c>
    </row>
    <row r="64" spans="2:9" ht="15" customHeight="1" x14ac:dyDescent="0.15">
      <c r="B64" t="s">
        <v>138</v>
      </c>
      <c r="C64" s="12">
        <v>24</v>
      </c>
      <c r="D64" s="8">
        <v>1.75</v>
      </c>
      <c r="E64" s="12">
        <v>23</v>
      </c>
      <c r="F64" s="8">
        <v>3.5</v>
      </c>
      <c r="G64" s="12">
        <v>1</v>
      </c>
      <c r="H64" s="8">
        <v>0.14000000000000001</v>
      </c>
      <c r="I64" s="12">
        <v>0</v>
      </c>
    </row>
    <row r="65" spans="2:9" ht="15" customHeight="1" x14ac:dyDescent="0.15">
      <c r="B65" t="s">
        <v>139</v>
      </c>
      <c r="C65" s="12">
        <v>24</v>
      </c>
      <c r="D65" s="8">
        <v>1.75</v>
      </c>
      <c r="E65" s="12">
        <v>10</v>
      </c>
      <c r="F65" s="8">
        <v>1.52</v>
      </c>
      <c r="G65" s="12">
        <v>14</v>
      </c>
      <c r="H65" s="8">
        <v>1.96</v>
      </c>
      <c r="I65" s="12">
        <v>0</v>
      </c>
    </row>
    <row r="66" spans="2:9" ht="15" customHeight="1" x14ac:dyDescent="0.15">
      <c r="B66" t="s">
        <v>147</v>
      </c>
      <c r="C66" s="12">
        <v>23</v>
      </c>
      <c r="D66" s="8">
        <v>1.67</v>
      </c>
      <c r="E66" s="12">
        <v>1</v>
      </c>
      <c r="F66" s="8">
        <v>0.15</v>
      </c>
      <c r="G66" s="12">
        <v>22</v>
      </c>
      <c r="H66" s="8">
        <v>3.07</v>
      </c>
      <c r="I66" s="12">
        <v>0</v>
      </c>
    </row>
    <row r="67" spans="2:9" ht="15" customHeight="1" x14ac:dyDescent="0.15">
      <c r="B67" t="s">
        <v>149</v>
      </c>
      <c r="C67" s="12">
        <v>21</v>
      </c>
      <c r="D67" s="8">
        <v>1.53</v>
      </c>
      <c r="E67" s="12">
        <v>2</v>
      </c>
      <c r="F67" s="8">
        <v>0.3</v>
      </c>
      <c r="G67" s="12">
        <v>19</v>
      </c>
      <c r="H67" s="8">
        <v>2.65</v>
      </c>
      <c r="I67" s="12">
        <v>0</v>
      </c>
    </row>
    <row r="68" spans="2:9" ht="15" customHeight="1" x14ac:dyDescent="0.15">
      <c r="B68" t="s">
        <v>142</v>
      </c>
      <c r="C68" s="12">
        <v>21</v>
      </c>
      <c r="D68" s="8">
        <v>1.53</v>
      </c>
      <c r="E68" s="12">
        <v>13</v>
      </c>
      <c r="F68" s="8">
        <v>1.98</v>
      </c>
      <c r="G68" s="12">
        <v>8</v>
      </c>
      <c r="H68" s="8">
        <v>1.1200000000000001</v>
      </c>
      <c r="I68" s="12">
        <v>0</v>
      </c>
    </row>
    <row r="69" spans="2:9" ht="15" customHeight="1" x14ac:dyDescent="0.15">
      <c r="B69" t="s">
        <v>166</v>
      </c>
      <c r="C69" s="12">
        <v>20</v>
      </c>
      <c r="D69" s="8">
        <v>1.45</v>
      </c>
      <c r="E69" s="12">
        <v>14</v>
      </c>
      <c r="F69" s="8">
        <v>2.13</v>
      </c>
      <c r="G69" s="12">
        <v>6</v>
      </c>
      <c r="H69" s="8">
        <v>0.84</v>
      </c>
      <c r="I69" s="12">
        <v>0</v>
      </c>
    </row>
    <row r="70" spans="2:9" ht="15" customHeight="1" x14ac:dyDescent="0.15">
      <c r="B70" t="s">
        <v>127</v>
      </c>
      <c r="C70" s="12">
        <v>18</v>
      </c>
      <c r="D70" s="8">
        <v>1.31</v>
      </c>
      <c r="E70" s="12">
        <v>4</v>
      </c>
      <c r="F70" s="8">
        <v>0.61</v>
      </c>
      <c r="G70" s="12">
        <v>14</v>
      </c>
      <c r="H70" s="8">
        <v>1.96</v>
      </c>
      <c r="I70" s="12">
        <v>0</v>
      </c>
    </row>
    <row r="71" spans="2:9" ht="15" customHeight="1" x14ac:dyDescent="0.15">
      <c r="B71" t="s">
        <v>126</v>
      </c>
      <c r="C71" s="12">
        <v>16</v>
      </c>
      <c r="D71" s="8">
        <v>1.1599999999999999</v>
      </c>
      <c r="E71" s="12">
        <v>1</v>
      </c>
      <c r="F71" s="8">
        <v>0.15</v>
      </c>
      <c r="G71" s="12">
        <v>15</v>
      </c>
      <c r="H71" s="8">
        <v>2.09</v>
      </c>
      <c r="I71" s="12">
        <v>0</v>
      </c>
    </row>
    <row r="72" spans="2:9" ht="15" customHeight="1" x14ac:dyDescent="0.15">
      <c r="B72" t="s">
        <v>153</v>
      </c>
      <c r="C72" s="12">
        <v>16</v>
      </c>
      <c r="D72" s="8">
        <v>1.1599999999999999</v>
      </c>
      <c r="E72" s="12">
        <v>5</v>
      </c>
      <c r="F72" s="8">
        <v>0.76</v>
      </c>
      <c r="G72" s="12">
        <v>11</v>
      </c>
      <c r="H72" s="8">
        <v>1.54</v>
      </c>
      <c r="I72" s="12">
        <v>0</v>
      </c>
    </row>
    <row r="73" spans="2:9" ht="15" customHeight="1" x14ac:dyDescent="0.15">
      <c r="B73" t="s">
        <v>179</v>
      </c>
      <c r="C73" s="12">
        <v>16</v>
      </c>
      <c r="D73" s="8">
        <v>1.1599999999999999</v>
      </c>
      <c r="E73" s="12">
        <v>10</v>
      </c>
      <c r="F73" s="8">
        <v>1.52</v>
      </c>
      <c r="G73" s="12">
        <v>6</v>
      </c>
      <c r="H73" s="8">
        <v>0.84</v>
      </c>
      <c r="I73" s="12">
        <v>0</v>
      </c>
    </row>
    <row r="74" spans="2:9" ht="15" customHeight="1" x14ac:dyDescent="0.15">
      <c r="B74" t="s">
        <v>180</v>
      </c>
      <c r="C74" s="12">
        <v>16</v>
      </c>
      <c r="D74" s="8">
        <v>1.1599999999999999</v>
      </c>
      <c r="E74" s="12">
        <v>16</v>
      </c>
      <c r="F74" s="8">
        <v>2.4300000000000002</v>
      </c>
      <c r="G74" s="12">
        <v>0</v>
      </c>
      <c r="H74" s="8">
        <v>0</v>
      </c>
      <c r="I74" s="12">
        <v>0</v>
      </c>
    </row>
    <row r="76" spans="2:9" ht="15" customHeight="1" x14ac:dyDescent="0.15">
      <c r="B76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327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160</v>
      </c>
      <c r="D6" s="8">
        <v>14.01</v>
      </c>
      <c r="E6" s="12">
        <v>82</v>
      </c>
      <c r="F6" s="8">
        <v>12.67</v>
      </c>
      <c r="G6" s="12">
        <v>78</v>
      </c>
      <c r="H6" s="8">
        <v>15.76</v>
      </c>
      <c r="I6" s="12">
        <v>0</v>
      </c>
    </row>
    <row r="7" spans="2:9" ht="15" customHeight="1" x14ac:dyDescent="0.15">
      <c r="B7" t="s">
        <v>53</v>
      </c>
      <c r="C7" s="12">
        <v>355</v>
      </c>
      <c r="D7" s="8">
        <v>31.09</v>
      </c>
      <c r="E7" s="12">
        <v>184</v>
      </c>
      <c r="F7" s="8">
        <v>28.44</v>
      </c>
      <c r="G7" s="12">
        <v>171</v>
      </c>
      <c r="H7" s="8">
        <v>34.549999999999997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7</v>
      </c>
      <c r="D9" s="8">
        <v>0.61</v>
      </c>
      <c r="E9" s="12">
        <v>0</v>
      </c>
      <c r="F9" s="8">
        <v>0</v>
      </c>
      <c r="G9" s="12">
        <v>7</v>
      </c>
      <c r="H9" s="8">
        <v>1.41</v>
      </c>
      <c r="I9" s="12">
        <v>0</v>
      </c>
    </row>
    <row r="10" spans="2:9" ht="15" customHeight="1" x14ac:dyDescent="0.15">
      <c r="B10" t="s">
        <v>56</v>
      </c>
      <c r="C10" s="12">
        <v>19</v>
      </c>
      <c r="D10" s="8">
        <v>1.66</v>
      </c>
      <c r="E10" s="12">
        <v>2</v>
      </c>
      <c r="F10" s="8">
        <v>0.31</v>
      </c>
      <c r="G10" s="12">
        <v>17</v>
      </c>
      <c r="H10" s="8">
        <v>3.43</v>
      </c>
      <c r="I10" s="12">
        <v>0</v>
      </c>
    </row>
    <row r="11" spans="2:9" ht="15" customHeight="1" x14ac:dyDescent="0.15">
      <c r="B11" t="s">
        <v>57</v>
      </c>
      <c r="C11" s="12">
        <v>264</v>
      </c>
      <c r="D11" s="8">
        <v>23.12</v>
      </c>
      <c r="E11" s="12">
        <v>139</v>
      </c>
      <c r="F11" s="8">
        <v>21.48</v>
      </c>
      <c r="G11" s="12">
        <v>125</v>
      </c>
      <c r="H11" s="8">
        <v>25.25</v>
      </c>
      <c r="I11" s="12">
        <v>0</v>
      </c>
    </row>
    <row r="12" spans="2:9" ht="15" customHeight="1" x14ac:dyDescent="0.15">
      <c r="B12" t="s">
        <v>58</v>
      </c>
      <c r="C12" s="12">
        <v>11</v>
      </c>
      <c r="D12" s="8">
        <v>0.96</v>
      </c>
      <c r="E12" s="12">
        <v>6</v>
      </c>
      <c r="F12" s="8">
        <v>0.93</v>
      </c>
      <c r="G12" s="12">
        <v>5</v>
      </c>
      <c r="H12" s="8">
        <v>1.01</v>
      </c>
      <c r="I12" s="12">
        <v>0</v>
      </c>
    </row>
    <row r="13" spans="2:9" ht="15" customHeight="1" x14ac:dyDescent="0.15">
      <c r="B13" t="s">
        <v>59</v>
      </c>
      <c r="C13" s="12">
        <v>20</v>
      </c>
      <c r="D13" s="8">
        <v>1.75</v>
      </c>
      <c r="E13" s="12">
        <v>4</v>
      </c>
      <c r="F13" s="8">
        <v>0.62</v>
      </c>
      <c r="G13" s="12">
        <v>16</v>
      </c>
      <c r="H13" s="8">
        <v>3.23</v>
      </c>
      <c r="I13" s="12">
        <v>0</v>
      </c>
    </row>
    <row r="14" spans="2:9" ht="15" customHeight="1" x14ac:dyDescent="0.15">
      <c r="B14" t="s">
        <v>60</v>
      </c>
      <c r="C14" s="12">
        <v>43</v>
      </c>
      <c r="D14" s="8">
        <v>3.77</v>
      </c>
      <c r="E14" s="12">
        <v>26</v>
      </c>
      <c r="F14" s="8">
        <v>4.0199999999999996</v>
      </c>
      <c r="G14" s="12">
        <v>17</v>
      </c>
      <c r="H14" s="8">
        <v>3.43</v>
      </c>
      <c r="I14" s="12">
        <v>0</v>
      </c>
    </row>
    <row r="15" spans="2:9" ht="15" customHeight="1" x14ac:dyDescent="0.15">
      <c r="B15" t="s">
        <v>61</v>
      </c>
      <c r="C15" s="12">
        <v>80</v>
      </c>
      <c r="D15" s="8">
        <v>7.01</v>
      </c>
      <c r="E15" s="12">
        <v>69</v>
      </c>
      <c r="F15" s="8">
        <v>10.66</v>
      </c>
      <c r="G15" s="12">
        <v>11</v>
      </c>
      <c r="H15" s="8">
        <v>2.2200000000000002</v>
      </c>
      <c r="I15" s="12">
        <v>0</v>
      </c>
    </row>
    <row r="16" spans="2:9" ht="15" customHeight="1" x14ac:dyDescent="0.15">
      <c r="B16" t="s">
        <v>62</v>
      </c>
      <c r="C16" s="12">
        <v>111</v>
      </c>
      <c r="D16" s="8">
        <v>9.7200000000000006</v>
      </c>
      <c r="E16" s="12">
        <v>88</v>
      </c>
      <c r="F16" s="8">
        <v>13.6</v>
      </c>
      <c r="G16" s="12">
        <v>23</v>
      </c>
      <c r="H16" s="8">
        <v>4.6500000000000004</v>
      </c>
      <c r="I16" s="12">
        <v>0</v>
      </c>
    </row>
    <row r="17" spans="2:9" ht="15" customHeight="1" x14ac:dyDescent="0.15">
      <c r="B17" t="s">
        <v>63</v>
      </c>
      <c r="C17" s="12">
        <v>20</v>
      </c>
      <c r="D17" s="8">
        <v>1.75</v>
      </c>
      <c r="E17" s="12">
        <v>13</v>
      </c>
      <c r="F17" s="8">
        <v>2.0099999999999998</v>
      </c>
      <c r="G17" s="12">
        <v>7</v>
      </c>
      <c r="H17" s="8">
        <v>1.41</v>
      </c>
      <c r="I17" s="12">
        <v>0</v>
      </c>
    </row>
    <row r="18" spans="2:9" ht="15" customHeight="1" x14ac:dyDescent="0.15">
      <c r="B18" t="s">
        <v>64</v>
      </c>
      <c r="C18" s="12">
        <v>26</v>
      </c>
      <c r="D18" s="8">
        <v>2.2799999999999998</v>
      </c>
      <c r="E18" s="12">
        <v>19</v>
      </c>
      <c r="F18" s="8">
        <v>2.94</v>
      </c>
      <c r="G18" s="12">
        <v>7</v>
      </c>
      <c r="H18" s="8">
        <v>1.41</v>
      </c>
      <c r="I18" s="12">
        <v>0</v>
      </c>
    </row>
    <row r="19" spans="2:9" ht="15" customHeight="1" x14ac:dyDescent="0.15">
      <c r="B19" t="s">
        <v>65</v>
      </c>
      <c r="C19" s="12">
        <v>26</v>
      </c>
      <c r="D19" s="8">
        <v>2.2799999999999998</v>
      </c>
      <c r="E19" s="12">
        <v>15</v>
      </c>
      <c r="F19" s="8">
        <v>2.3199999999999998</v>
      </c>
      <c r="G19" s="12">
        <v>11</v>
      </c>
      <c r="H19" s="8">
        <v>2.2200000000000002</v>
      </c>
      <c r="I19" s="12">
        <v>0</v>
      </c>
    </row>
    <row r="20" spans="2:9" ht="15" customHeight="1" x14ac:dyDescent="0.15">
      <c r="B20" s="9" t="s">
        <v>215</v>
      </c>
      <c r="C20" s="12">
        <f>SUM(LTBL_28220[総数／事業所数])</f>
        <v>1142</v>
      </c>
      <c r="E20" s="12">
        <f>SUBTOTAL(109,LTBL_28220[個人／事業所数])</f>
        <v>647</v>
      </c>
      <c r="G20" s="12">
        <f>SUBTOTAL(109,LTBL_28220[法人／事業所数])</f>
        <v>495</v>
      </c>
      <c r="I20" s="12">
        <f>SUBTOTAL(109,LTBL_28220[法人以外の団体／事業所数])</f>
        <v>0</v>
      </c>
    </row>
    <row r="21" spans="2:9" ht="15" customHeight="1" x14ac:dyDescent="0.15">
      <c r="E21" s="11">
        <f>LTBL_28220[[#Totals],[個人／事業所数]]/LTBL_28220[[#Totals],[総数／事業所数]]</f>
        <v>0.56654991243432573</v>
      </c>
      <c r="G21" s="11">
        <f>LTBL_28220[[#Totals],[法人／事業所数]]/LTBL_28220[[#Totals],[総数／事業所数]]</f>
        <v>0.43345008756567427</v>
      </c>
      <c r="I21" s="11">
        <f>LTBL_28220[[#Totals],[法人以外の団体／事業所数]]/LTBL_28220[[#Totals],[総数／事業所数]]</f>
        <v>0</v>
      </c>
    </row>
    <row r="23" spans="2:9" ht="33" customHeight="1" x14ac:dyDescent="0.15">
      <c r="B23" t="s">
        <v>214</v>
      </c>
      <c r="C23" s="10" t="s">
        <v>67</v>
      </c>
      <c r="D23" s="10" t="s">
        <v>328</v>
      </c>
      <c r="E23" s="10" t="s">
        <v>69</v>
      </c>
      <c r="F23" s="10" t="s">
        <v>247</v>
      </c>
      <c r="G23" s="10" t="s">
        <v>71</v>
      </c>
      <c r="H23" s="10" t="s">
        <v>329</v>
      </c>
      <c r="I23" s="10" t="s">
        <v>73</v>
      </c>
    </row>
    <row r="24" spans="2:9" ht="15" customHeight="1" x14ac:dyDescent="0.15">
      <c r="B24" t="s">
        <v>217</v>
      </c>
      <c r="C24">
        <v>9</v>
      </c>
      <c r="D24" t="s">
        <v>216</v>
      </c>
      <c r="E24">
        <v>0</v>
      </c>
      <c r="F24" t="s">
        <v>218</v>
      </c>
      <c r="G24">
        <v>9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229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84</v>
      </c>
      <c r="C29" s="12">
        <v>94</v>
      </c>
      <c r="D29" s="8">
        <v>8.23</v>
      </c>
      <c r="E29" s="12">
        <v>42</v>
      </c>
      <c r="F29" s="8">
        <v>6.49</v>
      </c>
      <c r="G29" s="12">
        <v>52</v>
      </c>
      <c r="H29" s="8">
        <v>10.51</v>
      </c>
      <c r="I29" s="12">
        <v>0</v>
      </c>
    </row>
    <row r="30" spans="2:9" ht="15" customHeight="1" x14ac:dyDescent="0.15">
      <c r="B30" t="s">
        <v>90</v>
      </c>
      <c r="C30" s="12">
        <v>93</v>
      </c>
      <c r="D30" s="8">
        <v>8.14</v>
      </c>
      <c r="E30" s="12">
        <v>77</v>
      </c>
      <c r="F30" s="8">
        <v>11.9</v>
      </c>
      <c r="G30" s="12">
        <v>16</v>
      </c>
      <c r="H30" s="8">
        <v>3.23</v>
      </c>
      <c r="I30" s="12">
        <v>0</v>
      </c>
    </row>
    <row r="31" spans="2:9" ht="15" customHeight="1" x14ac:dyDescent="0.15">
      <c r="B31" t="s">
        <v>77</v>
      </c>
      <c r="C31" s="12">
        <v>90</v>
      </c>
      <c r="D31" s="8">
        <v>7.88</v>
      </c>
      <c r="E31" s="12">
        <v>51</v>
      </c>
      <c r="F31" s="8">
        <v>7.88</v>
      </c>
      <c r="G31" s="12">
        <v>39</v>
      </c>
      <c r="H31" s="8">
        <v>7.88</v>
      </c>
      <c r="I31" s="12">
        <v>0</v>
      </c>
    </row>
    <row r="32" spans="2:9" ht="15" customHeight="1" x14ac:dyDescent="0.15">
      <c r="B32" t="s">
        <v>74</v>
      </c>
      <c r="C32" s="12">
        <v>81</v>
      </c>
      <c r="D32" s="8">
        <v>7.09</v>
      </c>
      <c r="E32" s="12">
        <v>29</v>
      </c>
      <c r="F32" s="8">
        <v>4.4800000000000004</v>
      </c>
      <c r="G32" s="12">
        <v>52</v>
      </c>
      <c r="H32" s="8">
        <v>10.51</v>
      </c>
      <c r="I32" s="12">
        <v>0</v>
      </c>
    </row>
    <row r="33" spans="2:9" ht="15" customHeight="1" x14ac:dyDescent="0.15">
      <c r="B33" t="s">
        <v>89</v>
      </c>
      <c r="C33" s="12">
        <v>72</v>
      </c>
      <c r="D33" s="8">
        <v>6.3</v>
      </c>
      <c r="E33" s="12">
        <v>66</v>
      </c>
      <c r="F33" s="8">
        <v>10.199999999999999</v>
      </c>
      <c r="G33" s="12">
        <v>6</v>
      </c>
      <c r="H33" s="8">
        <v>1.21</v>
      </c>
      <c r="I33" s="12">
        <v>0</v>
      </c>
    </row>
    <row r="34" spans="2:9" ht="15" customHeight="1" x14ac:dyDescent="0.15">
      <c r="B34" t="s">
        <v>101</v>
      </c>
      <c r="C34" s="12">
        <v>50</v>
      </c>
      <c r="D34" s="8">
        <v>4.38</v>
      </c>
      <c r="E34" s="12">
        <v>21</v>
      </c>
      <c r="F34" s="8">
        <v>3.25</v>
      </c>
      <c r="G34" s="12">
        <v>29</v>
      </c>
      <c r="H34" s="8">
        <v>5.86</v>
      </c>
      <c r="I34" s="12">
        <v>0</v>
      </c>
    </row>
    <row r="35" spans="2:9" ht="15" customHeight="1" x14ac:dyDescent="0.15">
      <c r="B35" t="s">
        <v>83</v>
      </c>
      <c r="C35" s="12">
        <v>43</v>
      </c>
      <c r="D35" s="8">
        <v>3.77</v>
      </c>
      <c r="E35" s="12">
        <v>31</v>
      </c>
      <c r="F35" s="8">
        <v>4.79</v>
      </c>
      <c r="G35" s="12">
        <v>12</v>
      </c>
      <c r="H35" s="8">
        <v>2.42</v>
      </c>
      <c r="I35" s="12">
        <v>0</v>
      </c>
    </row>
    <row r="36" spans="2:9" ht="15" customHeight="1" x14ac:dyDescent="0.15">
      <c r="B36" t="s">
        <v>75</v>
      </c>
      <c r="C36" s="12">
        <v>41</v>
      </c>
      <c r="D36" s="8">
        <v>3.59</v>
      </c>
      <c r="E36" s="12">
        <v>34</v>
      </c>
      <c r="F36" s="8">
        <v>5.26</v>
      </c>
      <c r="G36" s="12">
        <v>7</v>
      </c>
      <c r="H36" s="8">
        <v>1.41</v>
      </c>
      <c r="I36" s="12">
        <v>0</v>
      </c>
    </row>
    <row r="37" spans="2:9" ht="15" customHeight="1" x14ac:dyDescent="0.15">
      <c r="B37" t="s">
        <v>82</v>
      </c>
      <c r="C37" s="12">
        <v>41</v>
      </c>
      <c r="D37" s="8">
        <v>3.59</v>
      </c>
      <c r="E37" s="12">
        <v>33</v>
      </c>
      <c r="F37" s="8">
        <v>5.0999999999999996</v>
      </c>
      <c r="G37" s="12">
        <v>8</v>
      </c>
      <c r="H37" s="8">
        <v>1.62</v>
      </c>
      <c r="I37" s="12">
        <v>0</v>
      </c>
    </row>
    <row r="38" spans="2:9" ht="15" customHeight="1" x14ac:dyDescent="0.15">
      <c r="B38" t="s">
        <v>76</v>
      </c>
      <c r="C38" s="12">
        <v>38</v>
      </c>
      <c r="D38" s="8">
        <v>3.33</v>
      </c>
      <c r="E38" s="12">
        <v>19</v>
      </c>
      <c r="F38" s="8">
        <v>2.94</v>
      </c>
      <c r="G38" s="12">
        <v>19</v>
      </c>
      <c r="H38" s="8">
        <v>3.84</v>
      </c>
      <c r="I38" s="12">
        <v>0</v>
      </c>
    </row>
    <row r="39" spans="2:9" ht="15" customHeight="1" x14ac:dyDescent="0.15">
      <c r="B39" t="s">
        <v>110</v>
      </c>
      <c r="C39" s="12">
        <v>36</v>
      </c>
      <c r="D39" s="8">
        <v>3.15</v>
      </c>
      <c r="E39" s="12">
        <v>23</v>
      </c>
      <c r="F39" s="8">
        <v>3.55</v>
      </c>
      <c r="G39" s="12">
        <v>13</v>
      </c>
      <c r="H39" s="8">
        <v>2.63</v>
      </c>
      <c r="I39" s="12">
        <v>0</v>
      </c>
    </row>
    <row r="40" spans="2:9" ht="15" customHeight="1" x14ac:dyDescent="0.15">
      <c r="B40" t="s">
        <v>81</v>
      </c>
      <c r="C40" s="12">
        <v>34</v>
      </c>
      <c r="D40" s="8">
        <v>2.98</v>
      </c>
      <c r="E40" s="12">
        <v>14</v>
      </c>
      <c r="F40" s="8">
        <v>2.16</v>
      </c>
      <c r="G40" s="12">
        <v>20</v>
      </c>
      <c r="H40" s="8">
        <v>4.04</v>
      </c>
      <c r="I40" s="12">
        <v>0</v>
      </c>
    </row>
    <row r="41" spans="2:9" ht="15" customHeight="1" x14ac:dyDescent="0.15">
      <c r="B41" t="s">
        <v>116</v>
      </c>
      <c r="C41" s="12">
        <v>32</v>
      </c>
      <c r="D41" s="8">
        <v>2.8</v>
      </c>
      <c r="E41" s="12">
        <v>17</v>
      </c>
      <c r="F41" s="8">
        <v>2.63</v>
      </c>
      <c r="G41" s="12">
        <v>15</v>
      </c>
      <c r="H41" s="8">
        <v>3.03</v>
      </c>
      <c r="I41" s="12">
        <v>0</v>
      </c>
    </row>
    <row r="42" spans="2:9" ht="15" customHeight="1" x14ac:dyDescent="0.15">
      <c r="B42" t="s">
        <v>115</v>
      </c>
      <c r="C42" s="12">
        <v>28</v>
      </c>
      <c r="D42" s="8">
        <v>2.4500000000000002</v>
      </c>
      <c r="E42" s="12">
        <v>16</v>
      </c>
      <c r="F42" s="8">
        <v>2.4700000000000002</v>
      </c>
      <c r="G42" s="12">
        <v>12</v>
      </c>
      <c r="H42" s="8">
        <v>2.42</v>
      </c>
      <c r="I42" s="12">
        <v>0</v>
      </c>
    </row>
    <row r="43" spans="2:9" ht="15" customHeight="1" x14ac:dyDescent="0.15">
      <c r="B43" t="s">
        <v>117</v>
      </c>
      <c r="C43" s="12">
        <v>23</v>
      </c>
      <c r="D43" s="8">
        <v>2.0099999999999998</v>
      </c>
      <c r="E43" s="12">
        <v>12</v>
      </c>
      <c r="F43" s="8">
        <v>1.85</v>
      </c>
      <c r="G43" s="12">
        <v>11</v>
      </c>
      <c r="H43" s="8">
        <v>2.2200000000000002</v>
      </c>
      <c r="I43" s="12">
        <v>0</v>
      </c>
    </row>
    <row r="44" spans="2:9" ht="15" customHeight="1" x14ac:dyDescent="0.15">
      <c r="B44" t="s">
        <v>88</v>
      </c>
      <c r="C44" s="12">
        <v>23</v>
      </c>
      <c r="D44" s="8">
        <v>2.0099999999999998</v>
      </c>
      <c r="E44" s="12">
        <v>9</v>
      </c>
      <c r="F44" s="8">
        <v>1.39</v>
      </c>
      <c r="G44" s="12">
        <v>14</v>
      </c>
      <c r="H44" s="8">
        <v>2.83</v>
      </c>
      <c r="I44" s="12">
        <v>0</v>
      </c>
    </row>
    <row r="45" spans="2:9" ht="15" customHeight="1" x14ac:dyDescent="0.15">
      <c r="B45" t="s">
        <v>87</v>
      </c>
      <c r="C45" s="12">
        <v>20</v>
      </c>
      <c r="D45" s="8">
        <v>1.75</v>
      </c>
      <c r="E45" s="12">
        <v>17</v>
      </c>
      <c r="F45" s="8">
        <v>2.63</v>
      </c>
      <c r="G45" s="12">
        <v>3</v>
      </c>
      <c r="H45" s="8">
        <v>0.61</v>
      </c>
      <c r="I45" s="12">
        <v>0</v>
      </c>
    </row>
    <row r="46" spans="2:9" ht="15" customHeight="1" x14ac:dyDescent="0.15">
      <c r="B46" t="s">
        <v>92</v>
      </c>
      <c r="C46" s="12">
        <v>20</v>
      </c>
      <c r="D46" s="8">
        <v>1.75</v>
      </c>
      <c r="E46" s="12">
        <v>13</v>
      </c>
      <c r="F46" s="8">
        <v>2.0099999999999998</v>
      </c>
      <c r="G46" s="12">
        <v>7</v>
      </c>
      <c r="H46" s="8">
        <v>1.41</v>
      </c>
      <c r="I46" s="12">
        <v>0</v>
      </c>
    </row>
    <row r="47" spans="2:9" ht="15" customHeight="1" x14ac:dyDescent="0.15">
      <c r="B47" t="s">
        <v>93</v>
      </c>
      <c r="C47" s="12">
        <v>20</v>
      </c>
      <c r="D47" s="8">
        <v>1.75</v>
      </c>
      <c r="E47" s="12">
        <v>19</v>
      </c>
      <c r="F47" s="8">
        <v>2.94</v>
      </c>
      <c r="G47" s="12">
        <v>1</v>
      </c>
      <c r="H47" s="8">
        <v>0.2</v>
      </c>
      <c r="I47" s="12">
        <v>0</v>
      </c>
    </row>
    <row r="48" spans="2:9" ht="15" customHeight="1" x14ac:dyDescent="0.15">
      <c r="B48" t="s">
        <v>78</v>
      </c>
      <c r="C48" s="12">
        <v>15</v>
      </c>
      <c r="D48" s="8">
        <v>1.31</v>
      </c>
      <c r="E48" s="12">
        <v>4</v>
      </c>
      <c r="F48" s="8">
        <v>0.62</v>
      </c>
      <c r="G48" s="12">
        <v>11</v>
      </c>
      <c r="H48" s="8">
        <v>2.2200000000000002</v>
      </c>
      <c r="I48" s="12">
        <v>0</v>
      </c>
    </row>
    <row r="49" spans="2:9" ht="15" customHeight="1" x14ac:dyDescent="0.15">
      <c r="B49" t="s">
        <v>80</v>
      </c>
      <c r="C49" s="12">
        <v>15</v>
      </c>
      <c r="D49" s="8">
        <v>1.31</v>
      </c>
      <c r="E49" s="12">
        <v>5</v>
      </c>
      <c r="F49" s="8">
        <v>0.77</v>
      </c>
      <c r="G49" s="12">
        <v>10</v>
      </c>
      <c r="H49" s="8">
        <v>2.02</v>
      </c>
      <c r="I49" s="12">
        <v>0</v>
      </c>
    </row>
    <row r="50" spans="2:9" ht="15" customHeight="1" x14ac:dyDescent="0.15">
      <c r="B50" t="s">
        <v>106</v>
      </c>
      <c r="C50" s="12">
        <v>15</v>
      </c>
      <c r="D50" s="8">
        <v>1.31</v>
      </c>
      <c r="E50" s="12">
        <v>14</v>
      </c>
      <c r="F50" s="8">
        <v>2.16</v>
      </c>
      <c r="G50" s="12">
        <v>1</v>
      </c>
      <c r="H50" s="8">
        <v>0.2</v>
      </c>
      <c r="I50" s="12">
        <v>0</v>
      </c>
    </row>
    <row r="53" spans="2:9" ht="33" customHeight="1" x14ac:dyDescent="0.15">
      <c r="B53" t="s">
        <v>330</v>
      </c>
      <c r="C53" s="10" t="s">
        <v>67</v>
      </c>
      <c r="D53" s="10" t="s">
        <v>68</v>
      </c>
      <c r="E53" s="10" t="s">
        <v>69</v>
      </c>
      <c r="F53" s="10" t="s">
        <v>70</v>
      </c>
      <c r="G53" s="10" t="s">
        <v>71</v>
      </c>
      <c r="H53" s="10" t="s">
        <v>72</v>
      </c>
      <c r="I53" s="10" t="s">
        <v>73</v>
      </c>
    </row>
    <row r="54" spans="2:9" ht="15" customHeight="1" x14ac:dyDescent="0.15">
      <c r="B54" t="s">
        <v>125</v>
      </c>
      <c r="C54" s="12">
        <v>40</v>
      </c>
      <c r="D54" s="8">
        <v>3.5</v>
      </c>
      <c r="E54" s="12">
        <v>14</v>
      </c>
      <c r="F54" s="8">
        <v>2.16</v>
      </c>
      <c r="G54" s="12">
        <v>26</v>
      </c>
      <c r="H54" s="8">
        <v>5.25</v>
      </c>
      <c r="I54" s="12">
        <v>0</v>
      </c>
    </row>
    <row r="55" spans="2:9" ht="15" customHeight="1" x14ac:dyDescent="0.15">
      <c r="B55" t="s">
        <v>141</v>
      </c>
      <c r="C55" s="12">
        <v>39</v>
      </c>
      <c r="D55" s="8">
        <v>3.42</v>
      </c>
      <c r="E55" s="12">
        <v>33</v>
      </c>
      <c r="F55" s="8">
        <v>5.0999999999999996</v>
      </c>
      <c r="G55" s="12">
        <v>6</v>
      </c>
      <c r="H55" s="8">
        <v>1.21</v>
      </c>
      <c r="I55" s="12">
        <v>0</v>
      </c>
    </row>
    <row r="56" spans="2:9" ht="15" customHeight="1" x14ac:dyDescent="0.15">
      <c r="B56" t="s">
        <v>140</v>
      </c>
      <c r="C56" s="12">
        <v>34</v>
      </c>
      <c r="D56" s="8">
        <v>2.98</v>
      </c>
      <c r="E56" s="12">
        <v>32</v>
      </c>
      <c r="F56" s="8">
        <v>4.95</v>
      </c>
      <c r="G56" s="12">
        <v>2</v>
      </c>
      <c r="H56" s="8">
        <v>0.4</v>
      </c>
      <c r="I56" s="12">
        <v>0</v>
      </c>
    </row>
    <row r="57" spans="2:9" ht="15" customHeight="1" x14ac:dyDescent="0.15">
      <c r="B57" t="s">
        <v>138</v>
      </c>
      <c r="C57" s="12">
        <v>29</v>
      </c>
      <c r="D57" s="8">
        <v>2.54</v>
      </c>
      <c r="E57" s="12">
        <v>28</v>
      </c>
      <c r="F57" s="8">
        <v>4.33</v>
      </c>
      <c r="G57" s="12">
        <v>1</v>
      </c>
      <c r="H57" s="8">
        <v>0.2</v>
      </c>
      <c r="I57" s="12">
        <v>0</v>
      </c>
    </row>
    <row r="58" spans="2:9" ht="15" customHeight="1" x14ac:dyDescent="0.15">
      <c r="B58" t="s">
        <v>127</v>
      </c>
      <c r="C58" s="12">
        <v>27</v>
      </c>
      <c r="D58" s="8">
        <v>2.36</v>
      </c>
      <c r="E58" s="12">
        <v>15</v>
      </c>
      <c r="F58" s="8">
        <v>2.3199999999999998</v>
      </c>
      <c r="G58" s="12">
        <v>12</v>
      </c>
      <c r="H58" s="8">
        <v>2.42</v>
      </c>
      <c r="I58" s="12">
        <v>0</v>
      </c>
    </row>
    <row r="59" spans="2:9" ht="15" customHeight="1" x14ac:dyDescent="0.15">
      <c r="B59" t="s">
        <v>177</v>
      </c>
      <c r="C59" s="12">
        <v>26</v>
      </c>
      <c r="D59" s="8">
        <v>2.2799999999999998</v>
      </c>
      <c r="E59" s="12">
        <v>17</v>
      </c>
      <c r="F59" s="8">
        <v>2.63</v>
      </c>
      <c r="G59" s="12">
        <v>9</v>
      </c>
      <c r="H59" s="8">
        <v>1.82</v>
      </c>
      <c r="I59" s="12">
        <v>0</v>
      </c>
    </row>
    <row r="60" spans="2:9" ht="15" customHeight="1" x14ac:dyDescent="0.15">
      <c r="B60" t="s">
        <v>130</v>
      </c>
      <c r="C60" s="12">
        <v>25</v>
      </c>
      <c r="D60" s="8">
        <v>2.19</v>
      </c>
      <c r="E60" s="12">
        <v>18</v>
      </c>
      <c r="F60" s="8">
        <v>2.78</v>
      </c>
      <c r="G60" s="12">
        <v>7</v>
      </c>
      <c r="H60" s="8">
        <v>1.41</v>
      </c>
      <c r="I60" s="12">
        <v>0</v>
      </c>
    </row>
    <row r="61" spans="2:9" ht="15" customHeight="1" x14ac:dyDescent="0.15">
      <c r="B61" t="s">
        <v>184</v>
      </c>
      <c r="C61" s="12">
        <v>23</v>
      </c>
      <c r="D61" s="8">
        <v>2.0099999999999998</v>
      </c>
      <c r="E61" s="12">
        <v>17</v>
      </c>
      <c r="F61" s="8">
        <v>2.63</v>
      </c>
      <c r="G61" s="12">
        <v>6</v>
      </c>
      <c r="H61" s="8">
        <v>1.21</v>
      </c>
      <c r="I61" s="12">
        <v>0</v>
      </c>
    </row>
    <row r="62" spans="2:9" ht="15" customHeight="1" x14ac:dyDescent="0.15">
      <c r="B62" t="s">
        <v>187</v>
      </c>
      <c r="C62" s="12">
        <v>22</v>
      </c>
      <c r="D62" s="8">
        <v>1.93</v>
      </c>
      <c r="E62" s="12">
        <v>11</v>
      </c>
      <c r="F62" s="8">
        <v>1.7</v>
      </c>
      <c r="G62" s="12">
        <v>11</v>
      </c>
      <c r="H62" s="8">
        <v>2.2200000000000002</v>
      </c>
      <c r="I62" s="12">
        <v>0</v>
      </c>
    </row>
    <row r="63" spans="2:9" ht="15" customHeight="1" x14ac:dyDescent="0.15">
      <c r="B63" t="s">
        <v>132</v>
      </c>
      <c r="C63" s="12">
        <v>21</v>
      </c>
      <c r="D63" s="8">
        <v>1.84</v>
      </c>
      <c r="E63" s="12">
        <v>13</v>
      </c>
      <c r="F63" s="8">
        <v>2.0099999999999998</v>
      </c>
      <c r="G63" s="12">
        <v>8</v>
      </c>
      <c r="H63" s="8">
        <v>1.62</v>
      </c>
      <c r="I63" s="12">
        <v>0</v>
      </c>
    </row>
    <row r="64" spans="2:9" ht="15" customHeight="1" x14ac:dyDescent="0.15">
      <c r="B64" t="s">
        <v>131</v>
      </c>
      <c r="C64" s="12">
        <v>20</v>
      </c>
      <c r="D64" s="8">
        <v>1.75</v>
      </c>
      <c r="E64" s="12">
        <v>9</v>
      </c>
      <c r="F64" s="8">
        <v>1.39</v>
      </c>
      <c r="G64" s="12">
        <v>11</v>
      </c>
      <c r="H64" s="8">
        <v>2.2200000000000002</v>
      </c>
      <c r="I64" s="12">
        <v>0</v>
      </c>
    </row>
    <row r="65" spans="2:9" ht="15" customHeight="1" x14ac:dyDescent="0.15">
      <c r="B65" t="s">
        <v>183</v>
      </c>
      <c r="C65" s="12">
        <v>19</v>
      </c>
      <c r="D65" s="8">
        <v>1.66</v>
      </c>
      <c r="E65" s="12">
        <v>9</v>
      </c>
      <c r="F65" s="8">
        <v>1.39</v>
      </c>
      <c r="G65" s="12">
        <v>10</v>
      </c>
      <c r="H65" s="8">
        <v>2.02</v>
      </c>
      <c r="I65" s="12">
        <v>0</v>
      </c>
    </row>
    <row r="66" spans="2:9" ht="15" customHeight="1" x14ac:dyDescent="0.15">
      <c r="B66" t="s">
        <v>181</v>
      </c>
      <c r="C66" s="12">
        <v>17</v>
      </c>
      <c r="D66" s="8">
        <v>1.49</v>
      </c>
      <c r="E66" s="12">
        <v>16</v>
      </c>
      <c r="F66" s="8">
        <v>2.4700000000000002</v>
      </c>
      <c r="G66" s="12">
        <v>1</v>
      </c>
      <c r="H66" s="8">
        <v>0.2</v>
      </c>
      <c r="I66" s="12">
        <v>0</v>
      </c>
    </row>
    <row r="67" spans="2:9" ht="15" customHeight="1" x14ac:dyDescent="0.15">
      <c r="B67" t="s">
        <v>185</v>
      </c>
      <c r="C67" s="12">
        <v>17</v>
      </c>
      <c r="D67" s="8">
        <v>1.49</v>
      </c>
      <c r="E67" s="12">
        <v>9</v>
      </c>
      <c r="F67" s="8">
        <v>1.39</v>
      </c>
      <c r="G67" s="12">
        <v>8</v>
      </c>
      <c r="H67" s="8">
        <v>1.62</v>
      </c>
      <c r="I67" s="12">
        <v>0</v>
      </c>
    </row>
    <row r="68" spans="2:9" ht="15" customHeight="1" x14ac:dyDescent="0.15">
      <c r="B68" t="s">
        <v>186</v>
      </c>
      <c r="C68" s="12">
        <v>17</v>
      </c>
      <c r="D68" s="8">
        <v>1.49</v>
      </c>
      <c r="E68" s="12">
        <v>8</v>
      </c>
      <c r="F68" s="8">
        <v>1.24</v>
      </c>
      <c r="G68" s="12">
        <v>9</v>
      </c>
      <c r="H68" s="8">
        <v>1.82</v>
      </c>
      <c r="I68" s="12">
        <v>0</v>
      </c>
    </row>
    <row r="69" spans="2:9" ht="15" customHeight="1" x14ac:dyDescent="0.15">
      <c r="B69" t="s">
        <v>139</v>
      </c>
      <c r="C69" s="12">
        <v>17</v>
      </c>
      <c r="D69" s="8">
        <v>1.49</v>
      </c>
      <c r="E69" s="12">
        <v>12</v>
      </c>
      <c r="F69" s="8">
        <v>1.85</v>
      </c>
      <c r="G69" s="12">
        <v>5</v>
      </c>
      <c r="H69" s="8">
        <v>1.01</v>
      </c>
      <c r="I69" s="12">
        <v>0</v>
      </c>
    </row>
    <row r="70" spans="2:9" ht="15" customHeight="1" x14ac:dyDescent="0.15">
      <c r="B70" t="s">
        <v>182</v>
      </c>
      <c r="C70" s="12">
        <v>16</v>
      </c>
      <c r="D70" s="8">
        <v>1.4</v>
      </c>
      <c r="E70" s="12">
        <v>9</v>
      </c>
      <c r="F70" s="8">
        <v>1.39</v>
      </c>
      <c r="G70" s="12">
        <v>7</v>
      </c>
      <c r="H70" s="8">
        <v>1.41</v>
      </c>
      <c r="I70" s="12">
        <v>0</v>
      </c>
    </row>
    <row r="71" spans="2:9" ht="15" customHeight="1" x14ac:dyDescent="0.15">
      <c r="B71" t="s">
        <v>128</v>
      </c>
      <c r="C71" s="12">
        <v>15</v>
      </c>
      <c r="D71" s="8">
        <v>1.31</v>
      </c>
      <c r="E71" s="12">
        <v>5</v>
      </c>
      <c r="F71" s="8">
        <v>0.77</v>
      </c>
      <c r="G71" s="12">
        <v>10</v>
      </c>
      <c r="H71" s="8">
        <v>2.02</v>
      </c>
      <c r="I71" s="12">
        <v>0</v>
      </c>
    </row>
    <row r="72" spans="2:9" ht="15" customHeight="1" x14ac:dyDescent="0.15">
      <c r="B72" t="s">
        <v>129</v>
      </c>
      <c r="C72" s="12">
        <v>15</v>
      </c>
      <c r="D72" s="8">
        <v>1.31</v>
      </c>
      <c r="E72" s="12">
        <v>13</v>
      </c>
      <c r="F72" s="8">
        <v>2.0099999999999998</v>
      </c>
      <c r="G72" s="12">
        <v>2</v>
      </c>
      <c r="H72" s="8">
        <v>0.4</v>
      </c>
      <c r="I72" s="12">
        <v>0</v>
      </c>
    </row>
    <row r="73" spans="2:9" ht="15" customHeight="1" x14ac:dyDescent="0.15">
      <c r="B73" t="s">
        <v>166</v>
      </c>
      <c r="C73" s="12">
        <v>15</v>
      </c>
      <c r="D73" s="8">
        <v>1.31</v>
      </c>
      <c r="E73" s="12">
        <v>14</v>
      </c>
      <c r="F73" s="8">
        <v>2.16</v>
      </c>
      <c r="G73" s="12">
        <v>1</v>
      </c>
      <c r="H73" s="8">
        <v>0.2</v>
      </c>
      <c r="I73" s="12">
        <v>0</v>
      </c>
    </row>
    <row r="75" spans="2:9" ht="15" customHeight="1" x14ac:dyDescent="0.15">
      <c r="B75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331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226</v>
      </c>
      <c r="D6" s="8">
        <v>19.7</v>
      </c>
      <c r="E6" s="12">
        <v>151</v>
      </c>
      <c r="F6" s="8">
        <v>18.71</v>
      </c>
      <c r="G6" s="12">
        <v>75</v>
      </c>
      <c r="H6" s="8">
        <v>22.26</v>
      </c>
      <c r="I6" s="12">
        <v>0</v>
      </c>
    </row>
    <row r="7" spans="2:9" ht="15" customHeight="1" x14ac:dyDescent="0.15">
      <c r="B7" t="s">
        <v>53</v>
      </c>
      <c r="C7" s="12">
        <v>174</v>
      </c>
      <c r="D7" s="8">
        <v>15.17</v>
      </c>
      <c r="E7" s="12">
        <v>115</v>
      </c>
      <c r="F7" s="8">
        <v>14.25</v>
      </c>
      <c r="G7" s="12">
        <v>58</v>
      </c>
      <c r="H7" s="8">
        <v>17.21</v>
      </c>
      <c r="I7" s="12">
        <v>1</v>
      </c>
    </row>
    <row r="8" spans="2:9" ht="15" customHeight="1" x14ac:dyDescent="0.15">
      <c r="B8" t="s">
        <v>54</v>
      </c>
      <c r="C8" s="12">
        <v>1</v>
      </c>
      <c r="D8" s="8">
        <v>0.09</v>
      </c>
      <c r="E8" s="12">
        <v>0</v>
      </c>
      <c r="F8" s="8">
        <v>0</v>
      </c>
      <c r="G8" s="12">
        <v>1</v>
      </c>
      <c r="H8" s="8">
        <v>0.3</v>
      </c>
      <c r="I8" s="12">
        <v>0</v>
      </c>
    </row>
    <row r="9" spans="2:9" ht="15" customHeight="1" x14ac:dyDescent="0.15">
      <c r="B9" t="s">
        <v>55</v>
      </c>
      <c r="C9" s="12">
        <v>6</v>
      </c>
      <c r="D9" s="8">
        <v>0.52</v>
      </c>
      <c r="E9" s="12">
        <v>0</v>
      </c>
      <c r="F9" s="8">
        <v>0</v>
      </c>
      <c r="G9" s="12">
        <v>6</v>
      </c>
      <c r="H9" s="8">
        <v>1.78</v>
      </c>
      <c r="I9" s="12">
        <v>0</v>
      </c>
    </row>
    <row r="10" spans="2:9" ht="15" customHeight="1" x14ac:dyDescent="0.15">
      <c r="B10" t="s">
        <v>56</v>
      </c>
      <c r="C10" s="12">
        <v>8</v>
      </c>
      <c r="D10" s="8">
        <v>0.7</v>
      </c>
      <c r="E10" s="12">
        <v>3</v>
      </c>
      <c r="F10" s="8">
        <v>0.37</v>
      </c>
      <c r="G10" s="12">
        <v>5</v>
      </c>
      <c r="H10" s="8">
        <v>1.48</v>
      </c>
      <c r="I10" s="12">
        <v>0</v>
      </c>
    </row>
    <row r="11" spans="2:9" ht="15" customHeight="1" x14ac:dyDescent="0.15">
      <c r="B11" t="s">
        <v>57</v>
      </c>
      <c r="C11" s="12">
        <v>324</v>
      </c>
      <c r="D11" s="8">
        <v>28.25</v>
      </c>
      <c r="E11" s="12">
        <v>215</v>
      </c>
      <c r="F11" s="8">
        <v>26.64</v>
      </c>
      <c r="G11" s="12">
        <v>109</v>
      </c>
      <c r="H11" s="8">
        <v>32.340000000000003</v>
      </c>
      <c r="I11" s="12">
        <v>0</v>
      </c>
    </row>
    <row r="12" spans="2:9" ht="15" customHeight="1" x14ac:dyDescent="0.15">
      <c r="B12" t="s">
        <v>58</v>
      </c>
      <c r="C12" s="12">
        <v>4</v>
      </c>
      <c r="D12" s="8">
        <v>0.35</v>
      </c>
      <c r="E12" s="12">
        <v>2</v>
      </c>
      <c r="F12" s="8">
        <v>0.25</v>
      </c>
      <c r="G12" s="12">
        <v>2</v>
      </c>
      <c r="H12" s="8">
        <v>0.59</v>
      </c>
      <c r="I12" s="12">
        <v>0</v>
      </c>
    </row>
    <row r="13" spans="2:9" ht="15" customHeight="1" x14ac:dyDescent="0.15">
      <c r="B13" t="s">
        <v>59</v>
      </c>
      <c r="C13" s="12">
        <v>62</v>
      </c>
      <c r="D13" s="8">
        <v>5.41</v>
      </c>
      <c r="E13" s="12">
        <v>45</v>
      </c>
      <c r="F13" s="8">
        <v>5.58</v>
      </c>
      <c r="G13" s="12">
        <v>17</v>
      </c>
      <c r="H13" s="8">
        <v>5.04</v>
      </c>
      <c r="I13" s="12">
        <v>0</v>
      </c>
    </row>
    <row r="14" spans="2:9" ht="15" customHeight="1" x14ac:dyDescent="0.15">
      <c r="B14" t="s">
        <v>60</v>
      </c>
      <c r="C14" s="12">
        <v>40</v>
      </c>
      <c r="D14" s="8">
        <v>3.49</v>
      </c>
      <c r="E14" s="12">
        <v>28</v>
      </c>
      <c r="F14" s="8">
        <v>3.47</v>
      </c>
      <c r="G14" s="12">
        <v>12</v>
      </c>
      <c r="H14" s="8">
        <v>3.56</v>
      </c>
      <c r="I14" s="12">
        <v>0</v>
      </c>
    </row>
    <row r="15" spans="2:9" ht="15" customHeight="1" x14ac:dyDescent="0.15">
      <c r="B15" t="s">
        <v>61</v>
      </c>
      <c r="C15" s="12">
        <v>118</v>
      </c>
      <c r="D15" s="8">
        <v>10.29</v>
      </c>
      <c r="E15" s="12">
        <v>109</v>
      </c>
      <c r="F15" s="8">
        <v>13.51</v>
      </c>
      <c r="G15" s="12">
        <v>9</v>
      </c>
      <c r="H15" s="8">
        <v>2.67</v>
      </c>
      <c r="I15" s="12">
        <v>0</v>
      </c>
    </row>
    <row r="16" spans="2:9" ht="15" customHeight="1" x14ac:dyDescent="0.15">
      <c r="B16" t="s">
        <v>62</v>
      </c>
      <c r="C16" s="12">
        <v>106</v>
      </c>
      <c r="D16" s="8">
        <v>9.24</v>
      </c>
      <c r="E16" s="12">
        <v>91</v>
      </c>
      <c r="F16" s="8">
        <v>11.28</v>
      </c>
      <c r="G16" s="12">
        <v>15</v>
      </c>
      <c r="H16" s="8">
        <v>4.45</v>
      </c>
      <c r="I16" s="12">
        <v>0</v>
      </c>
    </row>
    <row r="17" spans="2:9" ht="15" customHeight="1" x14ac:dyDescent="0.15">
      <c r="B17" t="s">
        <v>63</v>
      </c>
      <c r="C17" s="12">
        <v>33</v>
      </c>
      <c r="D17" s="8">
        <v>2.88</v>
      </c>
      <c r="E17" s="12">
        <v>24</v>
      </c>
      <c r="F17" s="8">
        <v>2.97</v>
      </c>
      <c r="G17" s="12">
        <v>8</v>
      </c>
      <c r="H17" s="8">
        <v>2.37</v>
      </c>
      <c r="I17" s="12">
        <v>1</v>
      </c>
    </row>
    <row r="18" spans="2:9" ht="15" customHeight="1" x14ac:dyDescent="0.15">
      <c r="B18" t="s">
        <v>64</v>
      </c>
      <c r="C18" s="12">
        <v>27</v>
      </c>
      <c r="D18" s="8">
        <v>2.35</v>
      </c>
      <c r="E18" s="12">
        <v>19</v>
      </c>
      <c r="F18" s="8">
        <v>2.35</v>
      </c>
      <c r="G18" s="12">
        <v>8</v>
      </c>
      <c r="H18" s="8">
        <v>2.37</v>
      </c>
      <c r="I18" s="12">
        <v>0</v>
      </c>
    </row>
    <row r="19" spans="2:9" ht="15" customHeight="1" x14ac:dyDescent="0.15">
      <c r="B19" t="s">
        <v>65</v>
      </c>
      <c r="C19" s="12">
        <v>18</v>
      </c>
      <c r="D19" s="8">
        <v>1.57</v>
      </c>
      <c r="E19" s="12">
        <v>5</v>
      </c>
      <c r="F19" s="8">
        <v>0.62</v>
      </c>
      <c r="G19" s="12">
        <v>12</v>
      </c>
      <c r="H19" s="8">
        <v>3.56</v>
      </c>
      <c r="I19" s="12">
        <v>1</v>
      </c>
    </row>
    <row r="20" spans="2:9" ht="15" customHeight="1" x14ac:dyDescent="0.15">
      <c r="B20" s="9" t="s">
        <v>215</v>
      </c>
      <c r="C20" s="12">
        <f>SUM(LTBL_28221[総数／事業所数])</f>
        <v>1147</v>
      </c>
      <c r="E20" s="12">
        <f>SUBTOTAL(109,LTBL_28221[個人／事業所数])</f>
        <v>807</v>
      </c>
      <c r="G20" s="12">
        <f>SUBTOTAL(109,LTBL_28221[法人／事業所数])</f>
        <v>337</v>
      </c>
      <c r="I20" s="12">
        <f>SUBTOTAL(109,LTBL_28221[法人以外の団体／事業所数])</f>
        <v>3</v>
      </c>
    </row>
    <row r="21" spans="2:9" ht="15" customHeight="1" x14ac:dyDescent="0.15">
      <c r="E21" s="11">
        <f>LTBL_28221[[#Totals],[個人／事業所数]]/LTBL_28221[[#Totals],[総数／事業所数]]</f>
        <v>0.70357454228421967</v>
      </c>
      <c r="G21" s="11">
        <f>LTBL_28221[[#Totals],[法人／事業所数]]/LTBL_28221[[#Totals],[総数／事業所数]]</f>
        <v>0.29380993897122931</v>
      </c>
      <c r="I21" s="11">
        <f>LTBL_28221[[#Totals],[法人以外の団体／事業所数]]/LTBL_28221[[#Totals],[総数／事業所数]]</f>
        <v>2.6155187445510027E-3</v>
      </c>
    </row>
    <row r="23" spans="2:9" ht="33" customHeight="1" x14ac:dyDescent="0.15">
      <c r="B23" t="s">
        <v>214</v>
      </c>
      <c r="C23" s="10" t="s">
        <v>67</v>
      </c>
      <c r="D23" s="10" t="s">
        <v>221</v>
      </c>
      <c r="E23" s="10" t="s">
        <v>69</v>
      </c>
      <c r="F23" s="10" t="s">
        <v>332</v>
      </c>
      <c r="G23" s="10" t="s">
        <v>71</v>
      </c>
      <c r="H23" s="10" t="s">
        <v>333</v>
      </c>
      <c r="I23" s="10" t="s">
        <v>73</v>
      </c>
    </row>
    <row r="24" spans="2:9" ht="15" customHeight="1" x14ac:dyDescent="0.15">
      <c r="B24" t="s">
        <v>217</v>
      </c>
      <c r="C24">
        <v>15</v>
      </c>
      <c r="D24" t="s">
        <v>216</v>
      </c>
      <c r="E24">
        <v>0</v>
      </c>
      <c r="F24" t="s">
        <v>218</v>
      </c>
      <c r="G24">
        <v>15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229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74</v>
      </c>
      <c r="C29" s="12">
        <v>122</v>
      </c>
      <c r="D29" s="8">
        <v>10.64</v>
      </c>
      <c r="E29" s="12">
        <v>63</v>
      </c>
      <c r="F29" s="8">
        <v>7.81</v>
      </c>
      <c r="G29" s="12">
        <v>59</v>
      </c>
      <c r="H29" s="8">
        <v>17.510000000000002</v>
      </c>
      <c r="I29" s="12">
        <v>0</v>
      </c>
    </row>
    <row r="30" spans="2:9" ht="15" customHeight="1" x14ac:dyDescent="0.15">
      <c r="B30" t="s">
        <v>84</v>
      </c>
      <c r="C30" s="12">
        <v>115</v>
      </c>
      <c r="D30" s="8">
        <v>10.029999999999999</v>
      </c>
      <c r="E30" s="12">
        <v>75</v>
      </c>
      <c r="F30" s="8">
        <v>9.2899999999999991</v>
      </c>
      <c r="G30" s="12">
        <v>40</v>
      </c>
      <c r="H30" s="8">
        <v>11.87</v>
      </c>
      <c r="I30" s="12">
        <v>0</v>
      </c>
    </row>
    <row r="31" spans="2:9" ht="15" customHeight="1" x14ac:dyDescent="0.15">
      <c r="B31" t="s">
        <v>89</v>
      </c>
      <c r="C31" s="12">
        <v>105</v>
      </c>
      <c r="D31" s="8">
        <v>9.15</v>
      </c>
      <c r="E31" s="12">
        <v>98</v>
      </c>
      <c r="F31" s="8">
        <v>12.14</v>
      </c>
      <c r="G31" s="12">
        <v>7</v>
      </c>
      <c r="H31" s="8">
        <v>2.08</v>
      </c>
      <c r="I31" s="12">
        <v>0</v>
      </c>
    </row>
    <row r="32" spans="2:9" ht="15" customHeight="1" x14ac:dyDescent="0.15">
      <c r="B32" t="s">
        <v>82</v>
      </c>
      <c r="C32" s="12">
        <v>88</v>
      </c>
      <c r="D32" s="8">
        <v>7.67</v>
      </c>
      <c r="E32" s="12">
        <v>71</v>
      </c>
      <c r="F32" s="8">
        <v>8.8000000000000007</v>
      </c>
      <c r="G32" s="12">
        <v>17</v>
      </c>
      <c r="H32" s="8">
        <v>5.04</v>
      </c>
      <c r="I32" s="12">
        <v>0</v>
      </c>
    </row>
    <row r="33" spans="2:9" ht="15" customHeight="1" x14ac:dyDescent="0.15">
      <c r="B33" t="s">
        <v>90</v>
      </c>
      <c r="C33" s="12">
        <v>86</v>
      </c>
      <c r="D33" s="8">
        <v>7.5</v>
      </c>
      <c r="E33" s="12">
        <v>79</v>
      </c>
      <c r="F33" s="8">
        <v>9.7899999999999991</v>
      </c>
      <c r="G33" s="12">
        <v>7</v>
      </c>
      <c r="H33" s="8">
        <v>2.08</v>
      </c>
      <c r="I33" s="12">
        <v>0</v>
      </c>
    </row>
    <row r="34" spans="2:9" ht="15" customHeight="1" x14ac:dyDescent="0.15">
      <c r="B34" t="s">
        <v>75</v>
      </c>
      <c r="C34" s="12">
        <v>61</v>
      </c>
      <c r="D34" s="8">
        <v>5.32</v>
      </c>
      <c r="E34" s="12">
        <v>54</v>
      </c>
      <c r="F34" s="8">
        <v>6.69</v>
      </c>
      <c r="G34" s="12">
        <v>7</v>
      </c>
      <c r="H34" s="8">
        <v>2.08</v>
      </c>
      <c r="I34" s="12">
        <v>0</v>
      </c>
    </row>
    <row r="35" spans="2:9" ht="15" customHeight="1" x14ac:dyDescent="0.15">
      <c r="B35" t="s">
        <v>118</v>
      </c>
      <c r="C35" s="12">
        <v>59</v>
      </c>
      <c r="D35" s="8">
        <v>5.14</v>
      </c>
      <c r="E35" s="12">
        <v>54</v>
      </c>
      <c r="F35" s="8">
        <v>6.69</v>
      </c>
      <c r="G35" s="12">
        <v>5</v>
      </c>
      <c r="H35" s="8">
        <v>1.48</v>
      </c>
      <c r="I35" s="12">
        <v>0</v>
      </c>
    </row>
    <row r="36" spans="2:9" ht="15" customHeight="1" x14ac:dyDescent="0.15">
      <c r="B36" t="s">
        <v>86</v>
      </c>
      <c r="C36" s="12">
        <v>45</v>
      </c>
      <c r="D36" s="8">
        <v>3.92</v>
      </c>
      <c r="E36" s="12">
        <v>37</v>
      </c>
      <c r="F36" s="8">
        <v>4.58</v>
      </c>
      <c r="G36" s="12">
        <v>8</v>
      </c>
      <c r="H36" s="8">
        <v>2.37</v>
      </c>
      <c r="I36" s="12">
        <v>0</v>
      </c>
    </row>
    <row r="37" spans="2:9" ht="15" customHeight="1" x14ac:dyDescent="0.15">
      <c r="B37" t="s">
        <v>76</v>
      </c>
      <c r="C37" s="12">
        <v>43</v>
      </c>
      <c r="D37" s="8">
        <v>3.75</v>
      </c>
      <c r="E37" s="12">
        <v>34</v>
      </c>
      <c r="F37" s="8">
        <v>4.21</v>
      </c>
      <c r="G37" s="12">
        <v>9</v>
      </c>
      <c r="H37" s="8">
        <v>2.67</v>
      </c>
      <c r="I37" s="12">
        <v>0</v>
      </c>
    </row>
    <row r="38" spans="2:9" ht="15" customHeight="1" x14ac:dyDescent="0.15">
      <c r="B38" t="s">
        <v>83</v>
      </c>
      <c r="C38" s="12">
        <v>38</v>
      </c>
      <c r="D38" s="8">
        <v>3.31</v>
      </c>
      <c r="E38" s="12">
        <v>27</v>
      </c>
      <c r="F38" s="8">
        <v>3.35</v>
      </c>
      <c r="G38" s="12">
        <v>11</v>
      </c>
      <c r="H38" s="8">
        <v>3.26</v>
      </c>
      <c r="I38" s="12">
        <v>0</v>
      </c>
    </row>
    <row r="39" spans="2:9" ht="15" customHeight="1" x14ac:dyDescent="0.15">
      <c r="B39" t="s">
        <v>81</v>
      </c>
      <c r="C39" s="12">
        <v>37</v>
      </c>
      <c r="D39" s="8">
        <v>3.23</v>
      </c>
      <c r="E39" s="12">
        <v>27</v>
      </c>
      <c r="F39" s="8">
        <v>3.35</v>
      </c>
      <c r="G39" s="12">
        <v>10</v>
      </c>
      <c r="H39" s="8">
        <v>2.97</v>
      </c>
      <c r="I39" s="12">
        <v>0</v>
      </c>
    </row>
    <row r="40" spans="2:9" ht="15" customHeight="1" x14ac:dyDescent="0.15">
      <c r="B40" t="s">
        <v>92</v>
      </c>
      <c r="C40" s="12">
        <v>33</v>
      </c>
      <c r="D40" s="8">
        <v>2.88</v>
      </c>
      <c r="E40" s="12">
        <v>24</v>
      </c>
      <c r="F40" s="8">
        <v>2.97</v>
      </c>
      <c r="G40" s="12">
        <v>8</v>
      </c>
      <c r="H40" s="8">
        <v>2.37</v>
      </c>
      <c r="I40" s="12">
        <v>1</v>
      </c>
    </row>
    <row r="41" spans="2:9" ht="15" customHeight="1" x14ac:dyDescent="0.15">
      <c r="B41" t="s">
        <v>87</v>
      </c>
      <c r="C41" s="12">
        <v>22</v>
      </c>
      <c r="D41" s="8">
        <v>1.92</v>
      </c>
      <c r="E41" s="12">
        <v>19</v>
      </c>
      <c r="F41" s="8">
        <v>2.35</v>
      </c>
      <c r="G41" s="12">
        <v>3</v>
      </c>
      <c r="H41" s="8">
        <v>0.89</v>
      </c>
      <c r="I41" s="12">
        <v>0</v>
      </c>
    </row>
    <row r="42" spans="2:9" ht="15" customHeight="1" x14ac:dyDescent="0.15">
      <c r="B42" t="s">
        <v>93</v>
      </c>
      <c r="C42" s="12">
        <v>20</v>
      </c>
      <c r="D42" s="8">
        <v>1.74</v>
      </c>
      <c r="E42" s="12">
        <v>19</v>
      </c>
      <c r="F42" s="8">
        <v>2.35</v>
      </c>
      <c r="G42" s="12">
        <v>1</v>
      </c>
      <c r="H42" s="8">
        <v>0.3</v>
      </c>
      <c r="I42" s="12">
        <v>0</v>
      </c>
    </row>
    <row r="43" spans="2:9" ht="15" customHeight="1" x14ac:dyDescent="0.15">
      <c r="B43" t="s">
        <v>107</v>
      </c>
      <c r="C43" s="12">
        <v>19</v>
      </c>
      <c r="D43" s="8">
        <v>1.66</v>
      </c>
      <c r="E43" s="12">
        <v>7</v>
      </c>
      <c r="F43" s="8">
        <v>0.87</v>
      </c>
      <c r="G43" s="12">
        <v>12</v>
      </c>
      <c r="H43" s="8">
        <v>3.56</v>
      </c>
      <c r="I43" s="12">
        <v>0</v>
      </c>
    </row>
    <row r="44" spans="2:9" ht="15" customHeight="1" x14ac:dyDescent="0.15">
      <c r="B44" t="s">
        <v>88</v>
      </c>
      <c r="C44" s="12">
        <v>18</v>
      </c>
      <c r="D44" s="8">
        <v>1.57</v>
      </c>
      <c r="E44" s="12">
        <v>9</v>
      </c>
      <c r="F44" s="8">
        <v>1.1200000000000001</v>
      </c>
      <c r="G44" s="12">
        <v>9</v>
      </c>
      <c r="H44" s="8">
        <v>2.67</v>
      </c>
      <c r="I44" s="12">
        <v>0</v>
      </c>
    </row>
    <row r="45" spans="2:9" ht="15" customHeight="1" x14ac:dyDescent="0.15">
      <c r="B45" t="s">
        <v>112</v>
      </c>
      <c r="C45" s="12">
        <v>16</v>
      </c>
      <c r="D45" s="8">
        <v>1.39</v>
      </c>
      <c r="E45" s="12">
        <v>12</v>
      </c>
      <c r="F45" s="8">
        <v>1.49</v>
      </c>
      <c r="G45" s="12">
        <v>4</v>
      </c>
      <c r="H45" s="8">
        <v>1.19</v>
      </c>
      <c r="I45" s="12">
        <v>0</v>
      </c>
    </row>
    <row r="46" spans="2:9" ht="15" customHeight="1" x14ac:dyDescent="0.15">
      <c r="B46" t="s">
        <v>85</v>
      </c>
      <c r="C46" s="12">
        <v>16</v>
      </c>
      <c r="D46" s="8">
        <v>1.39</v>
      </c>
      <c r="E46" s="12">
        <v>8</v>
      </c>
      <c r="F46" s="8">
        <v>0.99</v>
      </c>
      <c r="G46" s="12">
        <v>8</v>
      </c>
      <c r="H46" s="8">
        <v>2.37</v>
      </c>
      <c r="I46" s="12">
        <v>0</v>
      </c>
    </row>
    <row r="47" spans="2:9" ht="15" customHeight="1" x14ac:dyDescent="0.15">
      <c r="B47" t="s">
        <v>91</v>
      </c>
      <c r="C47" s="12">
        <v>16</v>
      </c>
      <c r="D47" s="8">
        <v>1.39</v>
      </c>
      <c r="E47" s="12">
        <v>9</v>
      </c>
      <c r="F47" s="8">
        <v>1.1200000000000001</v>
      </c>
      <c r="G47" s="12">
        <v>7</v>
      </c>
      <c r="H47" s="8">
        <v>2.08</v>
      </c>
      <c r="I47" s="12">
        <v>0</v>
      </c>
    </row>
    <row r="48" spans="2:9" ht="15" customHeight="1" x14ac:dyDescent="0.15">
      <c r="B48" t="s">
        <v>78</v>
      </c>
      <c r="C48" s="12">
        <v>12</v>
      </c>
      <c r="D48" s="8">
        <v>1.05</v>
      </c>
      <c r="E48" s="12">
        <v>1</v>
      </c>
      <c r="F48" s="8">
        <v>0.12</v>
      </c>
      <c r="G48" s="12">
        <v>11</v>
      </c>
      <c r="H48" s="8">
        <v>3.26</v>
      </c>
      <c r="I48" s="12">
        <v>0</v>
      </c>
    </row>
    <row r="51" spans="2:9" ht="33" customHeight="1" x14ac:dyDescent="0.15">
      <c r="B51" t="s">
        <v>334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189</v>
      </c>
      <c r="C52" s="12">
        <v>53</v>
      </c>
      <c r="D52" s="8">
        <v>4.62</v>
      </c>
      <c r="E52" s="12">
        <v>52</v>
      </c>
      <c r="F52" s="8">
        <v>6.44</v>
      </c>
      <c r="G52" s="12">
        <v>1</v>
      </c>
      <c r="H52" s="8">
        <v>0.3</v>
      </c>
      <c r="I52" s="12">
        <v>0</v>
      </c>
    </row>
    <row r="53" spans="2:9" ht="15" customHeight="1" x14ac:dyDescent="0.15">
      <c r="B53" t="s">
        <v>141</v>
      </c>
      <c r="C53" s="12">
        <v>46</v>
      </c>
      <c r="D53" s="8">
        <v>4.01</v>
      </c>
      <c r="E53" s="12">
        <v>42</v>
      </c>
      <c r="F53" s="8">
        <v>5.2</v>
      </c>
      <c r="G53" s="12">
        <v>4</v>
      </c>
      <c r="H53" s="8">
        <v>1.19</v>
      </c>
      <c r="I53" s="12">
        <v>0</v>
      </c>
    </row>
    <row r="54" spans="2:9" ht="15" customHeight="1" x14ac:dyDescent="0.15">
      <c r="B54" t="s">
        <v>125</v>
      </c>
      <c r="C54" s="12">
        <v>41</v>
      </c>
      <c r="D54" s="8">
        <v>3.57</v>
      </c>
      <c r="E54" s="12">
        <v>17</v>
      </c>
      <c r="F54" s="8">
        <v>2.11</v>
      </c>
      <c r="G54" s="12">
        <v>24</v>
      </c>
      <c r="H54" s="8">
        <v>7.12</v>
      </c>
      <c r="I54" s="12">
        <v>0</v>
      </c>
    </row>
    <row r="55" spans="2:9" ht="15" customHeight="1" x14ac:dyDescent="0.15">
      <c r="B55" t="s">
        <v>167</v>
      </c>
      <c r="C55" s="12">
        <v>39</v>
      </c>
      <c r="D55" s="8">
        <v>3.4</v>
      </c>
      <c r="E55" s="12">
        <v>32</v>
      </c>
      <c r="F55" s="8">
        <v>3.97</v>
      </c>
      <c r="G55" s="12">
        <v>7</v>
      </c>
      <c r="H55" s="8">
        <v>2.08</v>
      </c>
      <c r="I55" s="12">
        <v>0</v>
      </c>
    </row>
    <row r="56" spans="2:9" ht="15" customHeight="1" x14ac:dyDescent="0.15">
      <c r="B56" t="s">
        <v>138</v>
      </c>
      <c r="C56" s="12">
        <v>38</v>
      </c>
      <c r="D56" s="8">
        <v>3.31</v>
      </c>
      <c r="E56" s="12">
        <v>37</v>
      </c>
      <c r="F56" s="8">
        <v>4.58</v>
      </c>
      <c r="G56" s="12">
        <v>1</v>
      </c>
      <c r="H56" s="8">
        <v>0.3</v>
      </c>
      <c r="I56" s="12">
        <v>0</v>
      </c>
    </row>
    <row r="57" spans="2:9" ht="15" customHeight="1" x14ac:dyDescent="0.15">
      <c r="B57" t="s">
        <v>132</v>
      </c>
      <c r="C57" s="12">
        <v>34</v>
      </c>
      <c r="D57" s="8">
        <v>2.96</v>
      </c>
      <c r="E57" s="12">
        <v>27</v>
      </c>
      <c r="F57" s="8">
        <v>3.35</v>
      </c>
      <c r="G57" s="12">
        <v>7</v>
      </c>
      <c r="H57" s="8">
        <v>2.08</v>
      </c>
      <c r="I57" s="12">
        <v>0</v>
      </c>
    </row>
    <row r="58" spans="2:9" ht="15" customHeight="1" x14ac:dyDescent="0.15">
      <c r="B58" t="s">
        <v>140</v>
      </c>
      <c r="C58" s="12">
        <v>31</v>
      </c>
      <c r="D58" s="8">
        <v>2.7</v>
      </c>
      <c r="E58" s="12">
        <v>31</v>
      </c>
      <c r="F58" s="8">
        <v>3.84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146</v>
      </c>
      <c r="C59" s="12">
        <v>28</v>
      </c>
      <c r="D59" s="8">
        <v>2.44</v>
      </c>
      <c r="E59" s="12">
        <v>22</v>
      </c>
      <c r="F59" s="8">
        <v>2.73</v>
      </c>
      <c r="G59" s="12">
        <v>6</v>
      </c>
      <c r="H59" s="8">
        <v>1.78</v>
      </c>
      <c r="I59" s="12">
        <v>0</v>
      </c>
    </row>
    <row r="60" spans="2:9" ht="15" customHeight="1" x14ac:dyDescent="0.15">
      <c r="B60" t="s">
        <v>134</v>
      </c>
      <c r="C60" s="12">
        <v>26</v>
      </c>
      <c r="D60" s="8">
        <v>2.27</v>
      </c>
      <c r="E60" s="12">
        <v>24</v>
      </c>
      <c r="F60" s="8">
        <v>2.97</v>
      </c>
      <c r="G60" s="12">
        <v>2</v>
      </c>
      <c r="H60" s="8">
        <v>0.59</v>
      </c>
      <c r="I60" s="12">
        <v>0</v>
      </c>
    </row>
    <row r="61" spans="2:9" ht="15" customHeight="1" x14ac:dyDescent="0.15">
      <c r="B61" t="s">
        <v>126</v>
      </c>
      <c r="C61" s="12">
        <v>24</v>
      </c>
      <c r="D61" s="8">
        <v>2.09</v>
      </c>
      <c r="E61" s="12">
        <v>10</v>
      </c>
      <c r="F61" s="8">
        <v>1.24</v>
      </c>
      <c r="G61" s="12">
        <v>14</v>
      </c>
      <c r="H61" s="8">
        <v>4.1500000000000004</v>
      </c>
      <c r="I61" s="12">
        <v>0</v>
      </c>
    </row>
    <row r="62" spans="2:9" ht="15" customHeight="1" x14ac:dyDescent="0.15">
      <c r="B62" t="s">
        <v>129</v>
      </c>
      <c r="C62" s="12">
        <v>23</v>
      </c>
      <c r="D62" s="8">
        <v>2.0099999999999998</v>
      </c>
      <c r="E62" s="12">
        <v>18</v>
      </c>
      <c r="F62" s="8">
        <v>2.23</v>
      </c>
      <c r="G62" s="12">
        <v>5</v>
      </c>
      <c r="H62" s="8">
        <v>1.48</v>
      </c>
      <c r="I62" s="12">
        <v>0</v>
      </c>
    </row>
    <row r="63" spans="2:9" ht="15" customHeight="1" x14ac:dyDescent="0.15">
      <c r="B63" t="s">
        <v>135</v>
      </c>
      <c r="C63" s="12">
        <v>23</v>
      </c>
      <c r="D63" s="8">
        <v>2.0099999999999998</v>
      </c>
      <c r="E63" s="12">
        <v>21</v>
      </c>
      <c r="F63" s="8">
        <v>2.6</v>
      </c>
      <c r="G63" s="12">
        <v>2</v>
      </c>
      <c r="H63" s="8">
        <v>0.59</v>
      </c>
      <c r="I63" s="12">
        <v>0</v>
      </c>
    </row>
    <row r="64" spans="2:9" ht="15" customHeight="1" x14ac:dyDescent="0.15">
      <c r="B64" t="s">
        <v>188</v>
      </c>
      <c r="C64" s="12">
        <v>21</v>
      </c>
      <c r="D64" s="8">
        <v>1.83</v>
      </c>
      <c r="E64" s="12">
        <v>21</v>
      </c>
      <c r="F64" s="8">
        <v>2.6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127</v>
      </c>
      <c r="C65" s="12">
        <v>21</v>
      </c>
      <c r="D65" s="8">
        <v>1.83</v>
      </c>
      <c r="E65" s="12">
        <v>19</v>
      </c>
      <c r="F65" s="8">
        <v>2.35</v>
      </c>
      <c r="G65" s="12">
        <v>2</v>
      </c>
      <c r="H65" s="8">
        <v>0.59</v>
      </c>
      <c r="I65" s="12">
        <v>0</v>
      </c>
    </row>
    <row r="66" spans="2:9" ht="15" customHeight="1" x14ac:dyDescent="0.15">
      <c r="B66" t="s">
        <v>130</v>
      </c>
      <c r="C66" s="12">
        <v>20</v>
      </c>
      <c r="D66" s="8">
        <v>1.74</v>
      </c>
      <c r="E66" s="12">
        <v>14</v>
      </c>
      <c r="F66" s="8">
        <v>1.73</v>
      </c>
      <c r="G66" s="12">
        <v>6</v>
      </c>
      <c r="H66" s="8">
        <v>1.78</v>
      </c>
      <c r="I66" s="12">
        <v>0</v>
      </c>
    </row>
    <row r="67" spans="2:9" ht="15" customHeight="1" x14ac:dyDescent="0.15">
      <c r="B67" t="s">
        <v>160</v>
      </c>
      <c r="C67" s="12">
        <v>18</v>
      </c>
      <c r="D67" s="8">
        <v>1.57</v>
      </c>
      <c r="E67" s="12">
        <v>13</v>
      </c>
      <c r="F67" s="8">
        <v>1.61</v>
      </c>
      <c r="G67" s="12">
        <v>5</v>
      </c>
      <c r="H67" s="8">
        <v>1.48</v>
      </c>
      <c r="I67" s="12">
        <v>0</v>
      </c>
    </row>
    <row r="68" spans="2:9" ht="15" customHeight="1" x14ac:dyDescent="0.15">
      <c r="B68" t="s">
        <v>179</v>
      </c>
      <c r="C68" s="12">
        <v>17</v>
      </c>
      <c r="D68" s="8">
        <v>1.48</v>
      </c>
      <c r="E68" s="12">
        <v>14</v>
      </c>
      <c r="F68" s="8">
        <v>1.73</v>
      </c>
      <c r="G68" s="12">
        <v>3</v>
      </c>
      <c r="H68" s="8">
        <v>0.89</v>
      </c>
      <c r="I68" s="12">
        <v>0</v>
      </c>
    </row>
    <row r="69" spans="2:9" ht="15" customHeight="1" x14ac:dyDescent="0.15">
      <c r="B69" t="s">
        <v>143</v>
      </c>
      <c r="C69" s="12">
        <v>16</v>
      </c>
      <c r="D69" s="8">
        <v>1.39</v>
      </c>
      <c r="E69" s="12">
        <v>13</v>
      </c>
      <c r="F69" s="8">
        <v>1.61</v>
      </c>
      <c r="G69" s="12">
        <v>2</v>
      </c>
      <c r="H69" s="8">
        <v>0.59</v>
      </c>
      <c r="I69" s="12">
        <v>1</v>
      </c>
    </row>
    <row r="70" spans="2:9" ht="15" customHeight="1" x14ac:dyDescent="0.15">
      <c r="B70" t="s">
        <v>172</v>
      </c>
      <c r="C70" s="12">
        <v>15</v>
      </c>
      <c r="D70" s="8">
        <v>1.31</v>
      </c>
      <c r="E70" s="12">
        <v>8</v>
      </c>
      <c r="F70" s="8">
        <v>0.99</v>
      </c>
      <c r="G70" s="12">
        <v>7</v>
      </c>
      <c r="H70" s="8">
        <v>2.08</v>
      </c>
      <c r="I70" s="12">
        <v>0</v>
      </c>
    </row>
    <row r="71" spans="2:9" ht="15" customHeight="1" x14ac:dyDescent="0.15">
      <c r="B71" t="s">
        <v>142</v>
      </c>
      <c r="C71" s="12">
        <v>15</v>
      </c>
      <c r="D71" s="8">
        <v>1.31</v>
      </c>
      <c r="E71" s="12">
        <v>11</v>
      </c>
      <c r="F71" s="8">
        <v>1.36</v>
      </c>
      <c r="G71" s="12">
        <v>4</v>
      </c>
      <c r="H71" s="8">
        <v>1.19</v>
      </c>
      <c r="I71" s="12">
        <v>0</v>
      </c>
    </row>
    <row r="73" spans="2:9" ht="15" customHeight="1" x14ac:dyDescent="0.15">
      <c r="B73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335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1</v>
      </c>
      <c r="D5" s="8">
        <v>0.12</v>
      </c>
      <c r="E5" s="12">
        <v>0</v>
      </c>
      <c r="F5" s="8">
        <v>0</v>
      </c>
      <c r="G5" s="12">
        <v>1</v>
      </c>
      <c r="H5" s="8">
        <v>0.41</v>
      </c>
      <c r="I5" s="12">
        <v>0</v>
      </c>
    </row>
    <row r="6" spans="2:9" ht="15" customHeight="1" x14ac:dyDescent="0.15">
      <c r="B6" t="s">
        <v>52</v>
      </c>
      <c r="C6" s="12">
        <v>148</v>
      </c>
      <c r="D6" s="8">
        <v>17.96</v>
      </c>
      <c r="E6" s="12">
        <v>92</v>
      </c>
      <c r="F6" s="8">
        <v>16.03</v>
      </c>
      <c r="G6" s="12">
        <v>56</v>
      </c>
      <c r="H6" s="8">
        <v>22.86</v>
      </c>
      <c r="I6" s="12">
        <v>0</v>
      </c>
    </row>
    <row r="7" spans="2:9" ht="15" customHeight="1" x14ac:dyDescent="0.15">
      <c r="B7" t="s">
        <v>53</v>
      </c>
      <c r="C7" s="12">
        <v>105</v>
      </c>
      <c r="D7" s="8">
        <v>12.74</v>
      </c>
      <c r="E7" s="12">
        <v>56</v>
      </c>
      <c r="F7" s="8">
        <v>9.76</v>
      </c>
      <c r="G7" s="12">
        <v>49</v>
      </c>
      <c r="H7" s="8">
        <v>20</v>
      </c>
      <c r="I7" s="12">
        <v>0</v>
      </c>
    </row>
    <row r="8" spans="2:9" ht="15" customHeight="1" x14ac:dyDescent="0.15">
      <c r="B8" t="s">
        <v>54</v>
      </c>
      <c r="C8" s="12">
        <v>1</v>
      </c>
      <c r="D8" s="8">
        <v>0.12</v>
      </c>
      <c r="E8" s="12">
        <v>0</v>
      </c>
      <c r="F8" s="8">
        <v>0</v>
      </c>
      <c r="G8" s="12">
        <v>1</v>
      </c>
      <c r="H8" s="8">
        <v>0.41</v>
      </c>
      <c r="I8" s="12">
        <v>0</v>
      </c>
    </row>
    <row r="9" spans="2:9" ht="15" customHeight="1" x14ac:dyDescent="0.15">
      <c r="B9" t="s">
        <v>55</v>
      </c>
      <c r="C9" s="12">
        <v>1</v>
      </c>
      <c r="D9" s="8">
        <v>0.12</v>
      </c>
      <c r="E9" s="12">
        <v>0</v>
      </c>
      <c r="F9" s="8">
        <v>0</v>
      </c>
      <c r="G9" s="12">
        <v>1</v>
      </c>
      <c r="H9" s="8">
        <v>0.41</v>
      </c>
      <c r="I9" s="12">
        <v>0</v>
      </c>
    </row>
    <row r="10" spans="2:9" ht="15" customHeight="1" x14ac:dyDescent="0.15">
      <c r="B10" t="s">
        <v>56</v>
      </c>
      <c r="C10" s="12">
        <v>13</v>
      </c>
      <c r="D10" s="8">
        <v>1.58</v>
      </c>
      <c r="E10" s="12">
        <v>7</v>
      </c>
      <c r="F10" s="8">
        <v>1.22</v>
      </c>
      <c r="G10" s="12">
        <v>5</v>
      </c>
      <c r="H10" s="8">
        <v>2.04</v>
      </c>
      <c r="I10" s="12">
        <v>1</v>
      </c>
    </row>
    <row r="11" spans="2:9" ht="15" customHeight="1" x14ac:dyDescent="0.15">
      <c r="B11" t="s">
        <v>57</v>
      </c>
      <c r="C11" s="12">
        <v>214</v>
      </c>
      <c r="D11" s="8">
        <v>25.97</v>
      </c>
      <c r="E11" s="12">
        <v>140</v>
      </c>
      <c r="F11" s="8">
        <v>24.39</v>
      </c>
      <c r="G11" s="12">
        <v>74</v>
      </c>
      <c r="H11" s="8">
        <v>30.2</v>
      </c>
      <c r="I11" s="12">
        <v>0</v>
      </c>
    </row>
    <row r="12" spans="2:9" ht="15" customHeight="1" x14ac:dyDescent="0.15">
      <c r="B12" t="s">
        <v>58</v>
      </c>
      <c r="C12" s="12">
        <v>4</v>
      </c>
      <c r="D12" s="8">
        <v>0.49</v>
      </c>
      <c r="E12" s="12">
        <v>2</v>
      </c>
      <c r="F12" s="8">
        <v>0.35</v>
      </c>
      <c r="G12" s="12">
        <v>2</v>
      </c>
      <c r="H12" s="8">
        <v>0.82</v>
      </c>
      <c r="I12" s="12">
        <v>0</v>
      </c>
    </row>
    <row r="13" spans="2:9" ht="15" customHeight="1" x14ac:dyDescent="0.15">
      <c r="B13" t="s">
        <v>59</v>
      </c>
      <c r="C13" s="12">
        <v>43</v>
      </c>
      <c r="D13" s="8">
        <v>5.22</v>
      </c>
      <c r="E13" s="12">
        <v>32</v>
      </c>
      <c r="F13" s="8">
        <v>5.57</v>
      </c>
      <c r="G13" s="12">
        <v>11</v>
      </c>
      <c r="H13" s="8">
        <v>4.49</v>
      </c>
      <c r="I13" s="12">
        <v>0</v>
      </c>
    </row>
    <row r="14" spans="2:9" ht="15" customHeight="1" x14ac:dyDescent="0.15">
      <c r="B14" t="s">
        <v>60</v>
      </c>
      <c r="C14" s="12">
        <v>30</v>
      </c>
      <c r="D14" s="8">
        <v>3.64</v>
      </c>
      <c r="E14" s="12">
        <v>26</v>
      </c>
      <c r="F14" s="8">
        <v>4.53</v>
      </c>
      <c r="G14" s="12">
        <v>4</v>
      </c>
      <c r="H14" s="8">
        <v>1.63</v>
      </c>
      <c r="I14" s="12">
        <v>0</v>
      </c>
    </row>
    <row r="15" spans="2:9" ht="15" customHeight="1" x14ac:dyDescent="0.15">
      <c r="B15" t="s">
        <v>61</v>
      </c>
      <c r="C15" s="12">
        <v>107</v>
      </c>
      <c r="D15" s="8">
        <v>12.99</v>
      </c>
      <c r="E15" s="12">
        <v>92</v>
      </c>
      <c r="F15" s="8">
        <v>16.03</v>
      </c>
      <c r="G15" s="12">
        <v>15</v>
      </c>
      <c r="H15" s="8">
        <v>6.12</v>
      </c>
      <c r="I15" s="12">
        <v>0</v>
      </c>
    </row>
    <row r="16" spans="2:9" ht="15" customHeight="1" x14ac:dyDescent="0.15">
      <c r="B16" t="s">
        <v>62</v>
      </c>
      <c r="C16" s="12">
        <v>79</v>
      </c>
      <c r="D16" s="8">
        <v>9.59</v>
      </c>
      <c r="E16" s="12">
        <v>69</v>
      </c>
      <c r="F16" s="8">
        <v>12.02</v>
      </c>
      <c r="G16" s="12">
        <v>10</v>
      </c>
      <c r="H16" s="8">
        <v>4.08</v>
      </c>
      <c r="I16" s="12">
        <v>0</v>
      </c>
    </row>
    <row r="17" spans="2:9" ht="15" customHeight="1" x14ac:dyDescent="0.15">
      <c r="B17" t="s">
        <v>63</v>
      </c>
      <c r="C17" s="12">
        <v>34</v>
      </c>
      <c r="D17" s="8">
        <v>4.13</v>
      </c>
      <c r="E17" s="12">
        <v>31</v>
      </c>
      <c r="F17" s="8">
        <v>5.4</v>
      </c>
      <c r="G17" s="12">
        <v>2</v>
      </c>
      <c r="H17" s="8">
        <v>0.82</v>
      </c>
      <c r="I17" s="12">
        <v>1</v>
      </c>
    </row>
    <row r="18" spans="2:9" ht="15" customHeight="1" x14ac:dyDescent="0.15">
      <c r="B18" t="s">
        <v>64</v>
      </c>
      <c r="C18" s="12">
        <v>24</v>
      </c>
      <c r="D18" s="8">
        <v>2.91</v>
      </c>
      <c r="E18" s="12">
        <v>15</v>
      </c>
      <c r="F18" s="8">
        <v>2.61</v>
      </c>
      <c r="G18" s="12">
        <v>9</v>
      </c>
      <c r="H18" s="8">
        <v>3.67</v>
      </c>
      <c r="I18" s="12">
        <v>0</v>
      </c>
    </row>
    <row r="19" spans="2:9" ht="15" customHeight="1" x14ac:dyDescent="0.15">
      <c r="B19" t="s">
        <v>65</v>
      </c>
      <c r="C19" s="12">
        <v>20</v>
      </c>
      <c r="D19" s="8">
        <v>2.4300000000000002</v>
      </c>
      <c r="E19" s="12">
        <v>12</v>
      </c>
      <c r="F19" s="8">
        <v>2.09</v>
      </c>
      <c r="G19" s="12">
        <v>5</v>
      </c>
      <c r="H19" s="8">
        <v>2.04</v>
      </c>
      <c r="I19" s="12">
        <v>3</v>
      </c>
    </row>
    <row r="20" spans="2:9" ht="15" customHeight="1" x14ac:dyDescent="0.15">
      <c r="B20" s="9" t="s">
        <v>215</v>
      </c>
      <c r="C20" s="12">
        <f>SUM(LTBL_28222[総数／事業所数])</f>
        <v>824</v>
      </c>
      <c r="E20" s="12">
        <f>SUBTOTAL(109,LTBL_28222[個人／事業所数])</f>
        <v>574</v>
      </c>
      <c r="G20" s="12">
        <f>SUBTOTAL(109,LTBL_28222[法人／事業所数])</f>
        <v>245</v>
      </c>
      <c r="I20" s="12">
        <f>SUBTOTAL(109,LTBL_28222[法人以外の団体／事業所数])</f>
        <v>5</v>
      </c>
    </row>
    <row r="21" spans="2:9" ht="15" customHeight="1" x14ac:dyDescent="0.15">
      <c r="E21" s="11">
        <f>LTBL_28222[[#Totals],[個人／事業所数]]/LTBL_28222[[#Totals],[総数／事業所数]]</f>
        <v>0.69660194174757284</v>
      </c>
      <c r="G21" s="11">
        <f>LTBL_28222[[#Totals],[法人／事業所数]]/LTBL_28222[[#Totals],[総数／事業所数]]</f>
        <v>0.29733009708737862</v>
      </c>
      <c r="I21" s="11">
        <f>LTBL_28222[[#Totals],[法人以外の団体／事業所数]]/LTBL_28222[[#Totals],[総数／事業所数]]</f>
        <v>6.0679611650485436E-3</v>
      </c>
    </row>
    <row r="23" spans="2:9" ht="33" customHeight="1" x14ac:dyDescent="0.15">
      <c r="B23" t="s">
        <v>214</v>
      </c>
      <c r="C23" s="10" t="s">
        <v>67</v>
      </c>
      <c r="D23" s="10" t="s">
        <v>221</v>
      </c>
      <c r="E23" s="10" t="s">
        <v>69</v>
      </c>
      <c r="F23" s="10" t="s">
        <v>222</v>
      </c>
      <c r="G23" s="10" t="s">
        <v>71</v>
      </c>
      <c r="H23" s="10" t="s">
        <v>223</v>
      </c>
      <c r="I23" s="10" t="s">
        <v>73</v>
      </c>
    </row>
    <row r="24" spans="2:9" ht="15" customHeight="1" x14ac:dyDescent="0.15">
      <c r="B24" t="s">
        <v>217</v>
      </c>
      <c r="C24">
        <v>9</v>
      </c>
      <c r="D24" t="s">
        <v>216</v>
      </c>
      <c r="E24">
        <v>0</v>
      </c>
      <c r="F24" t="s">
        <v>218</v>
      </c>
      <c r="G24">
        <v>8</v>
      </c>
      <c r="H24" t="s">
        <v>219</v>
      </c>
      <c r="I24">
        <v>1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234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84</v>
      </c>
      <c r="C29" s="12">
        <v>79</v>
      </c>
      <c r="D29" s="8">
        <v>9.59</v>
      </c>
      <c r="E29" s="12">
        <v>44</v>
      </c>
      <c r="F29" s="8">
        <v>7.67</v>
      </c>
      <c r="G29" s="12">
        <v>35</v>
      </c>
      <c r="H29" s="8">
        <v>14.29</v>
      </c>
      <c r="I29" s="12">
        <v>0</v>
      </c>
    </row>
    <row r="30" spans="2:9" ht="15" customHeight="1" x14ac:dyDescent="0.15">
      <c r="B30" t="s">
        <v>74</v>
      </c>
      <c r="C30" s="12">
        <v>78</v>
      </c>
      <c r="D30" s="8">
        <v>9.4700000000000006</v>
      </c>
      <c r="E30" s="12">
        <v>38</v>
      </c>
      <c r="F30" s="8">
        <v>6.62</v>
      </c>
      <c r="G30" s="12">
        <v>40</v>
      </c>
      <c r="H30" s="8">
        <v>16.329999999999998</v>
      </c>
      <c r="I30" s="12">
        <v>0</v>
      </c>
    </row>
    <row r="31" spans="2:9" ht="15" customHeight="1" x14ac:dyDescent="0.15">
      <c r="B31" t="s">
        <v>90</v>
      </c>
      <c r="C31" s="12">
        <v>70</v>
      </c>
      <c r="D31" s="8">
        <v>8.5</v>
      </c>
      <c r="E31" s="12">
        <v>63</v>
      </c>
      <c r="F31" s="8">
        <v>10.98</v>
      </c>
      <c r="G31" s="12">
        <v>7</v>
      </c>
      <c r="H31" s="8">
        <v>2.86</v>
      </c>
      <c r="I31" s="12">
        <v>0</v>
      </c>
    </row>
    <row r="32" spans="2:9" ht="15" customHeight="1" x14ac:dyDescent="0.15">
      <c r="B32" t="s">
        <v>89</v>
      </c>
      <c r="C32" s="12">
        <v>54</v>
      </c>
      <c r="D32" s="8">
        <v>6.55</v>
      </c>
      <c r="E32" s="12">
        <v>49</v>
      </c>
      <c r="F32" s="8">
        <v>8.5399999999999991</v>
      </c>
      <c r="G32" s="12">
        <v>5</v>
      </c>
      <c r="H32" s="8">
        <v>2.04</v>
      </c>
      <c r="I32" s="12">
        <v>0</v>
      </c>
    </row>
    <row r="33" spans="2:9" ht="15" customHeight="1" x14ac:dyDescent="0.15">
      <c r="B33" t="s">
        <v>108</v>
      </c>
      <c r="C33" s="12">
        <v>50</v>
      </c>
      <c r="D33" s="8">
        <v>6.07</v>
      </c>
      <c r="E33" s="12">
        <v>40</v>
      </c>
      <c r="F33" s="8">
        <v>6.97</v>
      </c>
      <c r="G33" s="12">
        <v>10</v>
      </c>
      <c r="H33" s="8">
        <v>4.08</v>
      </c>
      <c r="I33" s="12">
        <v>0</v>
      </c>
    </row>
    <row r="34" spans="2:9" ht="15" customHeight="1" x14ac:dyDescent="0.15">
      <c r="B34" t="s">
        <v>75</v>
      </c>
      <c r="C34" s="12">
        <v>43</v>
      </c>
      <c r="D34" s="8">
        <v>5.22</v>
      </c>
      <c r="E34" s="12">
        <v>36</v>
      </c>
      <c r="F34" s="8">
        <v>6.27</v>
      </c>
      <c r="G34" s="12">
        <v>7</v>
      </c>
      <c r="H34" s="8">
        <v>2.86</v>
      </c>
      <c r="I34" s="12">
        <v>0</v>
      </c>
    </row>
    <row r="35" spans="2:9" ht="15" customHeight="1" x14ac:dyDescent="0.15">
      <c r="B35" t="s">
        <v>82</v>
      </c>
      <c r="C35" s="12">
        <v>41</v>
      </c>
      <c r="D35" s="8">
        <v>4.9800000000000004</v>
      </c>
      <c r="E35" s="12">
        <v>36</v>
      </c>
      <c r="F35" s="8">
        <v>6.27</v>
      </c>
      <c r="G35" s="12">
        <v>5</v>
      </c>
      <c r="H35" s="8">
        <v>2.04</v>
      </c>
      <c r="I35" s="12">
        <v>0</v>
      </c>
    </row>
    <row r="36" spans="2:9" ht="15" customHeight="1" x14ac:dyDescent="0.15">
      <c r="B36" t="s">
        <v>92</v>
      </c>
      <c r="C36" s="12">
        <v>34</v>
      </c>
      <c r="D36" s="8">
        <v>4.13</v>
      </c>
      <c r="E36" s="12">
        <v>31</v>
      </c>
      <c r="F36" s="8">
        <v>5.4</v>
      </c>
      <c r="G36" s="12">
        <v>2</v>
      </c>
      <c r="H36" s="8">
        <v>0.82</v>
      </c>
      <c r="I36" s="12">
        <v>1</v>
      </c>
    </row>
    <row r="37" spans="2:9" ht="15" customHeight="1" x14ac:dyDescent="0.15">
      <c r="B37" t="s">
        <v>86</v>
      </c>
      <c r="C37" s="12">
        <v>33</v>
      </c>
      <c r="D37" s="8">
        <v>4</v>
      </c>
      <c r="E37" s="12">
        <v>27</v>
      </c>
      <c r="F37" s="8">
        <v>4.7</v>
      </c>
      <c r="G37" s="12">
        <v>6</v>
      </c>
      <c r="H37" s="8">
        <v>2.4500000000000002</v>
      </c>
      <c r="I37" s="12">
        <v>0</v>
      </c>
    </row>
    <row r="38" spans="2:9" ht="15" customHeight="1" x14ac:dyDescent="0.15">
      <c r="B38" t="s">
        <v>83</v>
      </c>
      <c r="C38" s="12">
        <v>32</v>
      </c>
      <c r="D38" s="8">
        <v>3.88</v>
      </c>
      <c r="E38" s="12">
        <v>24</v>
      </c>
      <c r="F38" s="8">
        <v>4.18</v>
      </c>
      <c r="G38" s="12">
        <v>8</v>
      </c>
      <c r="H38" s="8">
        <v>3.27</v>
      </c>
      <c r="I38" s="12">
        <v>0</v>
      </c>
    </row>
    <row r="39" spans="2:9" ht="15" customHeight="1" x14ac:dyDescent="0.15">
      <c r="B39" t="s">
        <v>76</v>
      </c>
      <c r="C39" s="12">
        <v>27</v>
      </c>
      <c r="D39" s="8">
        <v>3.28</v>
      </c>
      <c r="E39" s="12">
        <v>18</v>
      </c>
      <c r="F39" s="8">
        <v>3.14</v>
      </c>
      <c r="G39" s="12">
        <v>9</v>
      </c>
      <c r="H39" s="8">
        <v>3.67</v>
      </c>
      <c r="I39" s="12">
        <v>0</v>
      </c>
    </row>
    <row r="40" spans="2:9" ht="15" customHeight="1" x14ac:dyDescent="0.15">
      <c r="B40" t="s">
        <v>81</v>
      </c>
      <c r="C40" s="12">
        <v>26</v>
      </c>
      <c r="D40" s="8">
        <v>3.16</v>
      </c>
      <c r="E40" s="12">
        <v>19</v>
      </c>
      <c r="F40" s="8">
        <v>3.31</v>
      </c>
      <c r="G40" s="12">
        <v>7</v>
      </c>
      <c r="H40" s="8">
        <v>2.86</v>
      </c>
      <c r="I40" s="12">
        <v>0</v>
      </c>
    </row>
    <row r="41" spans="2:9" ht="15" customHeight="1" x14ac:dyDescent="0.15">
      <c r="B41" t="s">
        <v>77</v>
      </c>
      <c r="C41" s="12">
        <v>17</v>
      </c>
      <c r="D41" s="8">
        <v>2.06</v>
      </c>
      <c r="E41" s="12">
        <v>8</v>
      </c>
      <c r="F41" s="8">
        <v>1.39</v>
      </c>
      <c r="G41" s="12">
        <v>9</v>
      </c>
      <c r="H41" s="8">
        <v>3.67</v>
      </c>
      <c r="I41" s="12">
        <v>0</v>
      </c>
    </row>
    <row r="42" spans="2:9" ht="15" customHeight="1" x14ac:dyDescent="0.15">
      <c r="B42" t="s">
        <v>88</v>
      </c>
      <c r="C42" s="12">
        <v>16</v>
      </c>
      <c r="D42" s="8">
        <v>1.94</v>
      </c>
      <c r="E42" s="12">
        <v>13</v>
      </c>
      <c r="F42" s="8">
        <v>2.2599999999999998</v>
      </c>
      <c r="G42" s="12">
        <v>3</v>
      </c>
      <c r="H42" s="8">
        <v>1.22</v>
      </c>
      <c r="I42" s="12">
        <v>0</v>
      </c>
    </row>
    <row r="43" spans="2:9" ht="15" customHeight="1" x14ac:dyDescent="0.15">
      <c r="B43" t="s">
        <v>93</v>
      </c>
      <c r="C43" s="12">
        <v>16</v>
      </c>
      <c r="D43" s="8">
        <v>1.94</v>
      </c>
      <c r="E43" s="12">
        <v>15</v>
      </c>
      <c r="F43" s="8">
        <v>2.61</v>
      </c>
      <c r="G43" s="12">
        <v>1</v>
      </c>
      <c r="H43" s="8">
        <v>0.41</v>
      </c>
      <c r="I43" s="12">
        <v>0</v>
      </c>
    </row>
    <row r="44" spans="2:9" ht="15" customHeight="1" x14ac:dyDescent="0.15">
      <c r="B44" t="s">
        <v>107</v>
      </c>
      <c r="C44" s="12">
        <v>14</v>
      </c>
      <c r="D44" s="8">
        <v>1.7</v>
      </c>
      <c r="E44" s="12">
        <v>8</v>
      </c>
      <c r="F44" s="8">
        <v>1.39</v>
      </c>
      <c r="G44" s="12">
        <v>6</v>
      </c>
      <c r="H44" s="8">
        <v>2.4500000000000002</v>
      </c>
      <c r="I44" s="12">
        <v>0</v>
      </c>
    </row>
    <row r="45" spans="2:9" ht="15" customHeight="1" x14ac:dyDescent="0.15">
      <c r="B45" t="s">
        <v>87</v>
      </c>
      <c r="C45" s="12">
        <v>14</v>
      </c>
      <c r="D45" s="8">
        <v>1.7</v>
      </c>
      <c r="E45" s="12">
        <v>13</v>
      </c>
      <c r="F45" s="8">
        <v>2.2599999999999998</v>
      </c>
      <c r="G45" s="12">
        <v>1</v>
      </c>
      <c r="H45" s="8">
        <v>0.41</v>
      </c>
      <c r="I45" s="12">
        <v>0</v>
      </c>
    </row>
    <row r="46" spans="2:9" ht="15" customHeight="1" x14ac:dyDescent="0.15">
      <c r="B46" t="s">
        <v>110</v>
      </c>
      <c r="C46" s="12">
        <v>13</v>
      </c>
      <c r="D46" s="8">
        <v>1.58</v>
      </c>
      <c r="E46" s="12">
        <v>9</v>
      </c>
      <c r="F46" s="8">
        <v>1.57</v>
      </c>
      <c r="G46" s="12">
        <v>4</v>
      </c>
      <c r="H46" s="8">
        <v>1.63</v>
      </c>
      <c r="I46" s="12">
        <v>0</v>
      </c>
    </row>
    <row r="47" spans="2:9" ht="15" customHeight="1" x14ac:dyDescent="0.15">
      <c r="B47" t="s">
        <v>106</v>
      </c>
      <c r="C47" s="12">
        <v>11</v>
      </c>
      <c r="D47" s="8">
        <v>1.33</v>
      </c>
      <c r="E47" s="12">
        <v>8</v>
      </c>
      <c r="F47" s="8">
        <v>1.39</v>
      </c>
      <c r="G47" s="12">
        <v>3</v>
      </c>
      <c r="H47" s="8">
        <v>1.22</v>
      </c>
      <c r="I47" s="12">
        <v>0</v>
      </c>
    </row>
    <row r="48" spans="2:9" ht="15" customHeight="1" x14ac:dyDescent="0.15">
      <c r="B48" t="s">
        <v>113</v>
      </c>
      <c r="C48" s="12">
        <v>9</v>
      </c>
      <c r="D48" s="8">
        <v>1.0900000000000001</v>
      </c>
      <c r="E48" s="12">
        <v>5</v>
      </c>
      <c r="F48" s="8">
        <v>0.87</v>
      </c>
      <c r="G48" s="12">
        <v>4</v>
      </c>
      <c r="H48" s="8">
        <v>1.63</v>
      </c>
      <c r="I48" s="12">
        <v>0</v>
      </c>
    </row>
    <row r="51" spans="2:9" ht="33" customHeight="1" x14ac:dyDescent="0.15">
      <c r="B51" t="s">
        <v>230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170</v>
      </c>
      <c r="C52" s="12">
        <v>48</v>
      </c>
      <c r="D52" s="8">
        <v>5.83</v>
      </c>
      <c r="E52" s="12">
        <v>38</v>
      </c>
      <c r="F52" s="8">
        <v>6.62</v>
      </c>
      <c r="G52" s="12">
        <v>10</v>
      </c>
      <c r="H52" s="8">
        <v>4.08</v>
      </c>
      <c r="I52" s="12">
        <v>0</v>
      </c>
    </row>
    <row r="53" spans="2:9" ht="15" customHeight="1" x14ac:dyDescent="0.15">
      <c r="B53" t="s">
        <v>125</v>
      </c>
      <c r="C53" s="12">
        <v>38</v>
      </c>
      <c r="D53" s="8">
        <v>4.6100000000000003</v>
      </c>
      <c r="E53" s="12">
        <v>14</v>
      </c>
      <c r="F53" s="8">
        <v>2.44</v>
      </c>
      <c r="G53" s="12">
        <v>24</v>
      </c>
      <c r="H53" s="8">
        <v>9.8000000000000007</v>
      </c>
      <c r="I53" s="12">
        <v>0</v>
      </c>
    </row>
    <row r="54" spans="2:9" ht="15" customHeight="1" x14ac:dyDescent="0.15">
      <c r="B54" t="s">
        <v>141</v>
      </c>
      <c r="C54" s="12">
        <v>37</v>
      </c>
      <c r="D54" s="8">
        <v>4.49</v>
      </c>
      <c r="E54" s="12">
        <v>36</v>
      </c>
      <c r="F54" s="8">
        <v>6.27</v>
      </c>
      <c r="G54" s="12">
        <v>1</v>
      </c>
      <c r="H54" s="8">
        <v>0.41</v>
      </c>
      <c r="I54" s="12">
        <v>0</v>
      </c>
    </row>
    <row r="55" spans="2:9" ht="15" customHeight="1" x14ac:dyDescent="0.15">
      <c r="B55" t="s">
        <v>132</v>
      </c>
      <c r="C55" s="12">
        <v>24</v>
      </c>
      <c r="D55" s="8">
        <v>2.91</v>
      </c>
      <c r="E55" s="12">
        <v>15</v>
      </c>
      <c r="F55" s="8">
        <v>2.61</v>
      </c>
      <c r="G55" s="12">
        <v>9</v>
      </c>
      <c r="H55" s="8">
        <v>3.67</v>
      </c>
      <c r="I55" s="12">
        <v>0</v>
      </c>
    </row>
    <row r="56" spans="2:9" ht="15" customHeight="1" x14ac:dyDescent="0.15">
      <c r="B56" t="s">
        <v>140</v>
      </c>
      <c r="C56" s="12">
        <v>22</v>
      </c>
      <c r="D56" s="8">
        <v>2.67</v>
      </c>
      <c r="E56" s="12">
        <v>22</v>
      </c>
      <c r="F56" s="8">
        <v>3.83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130</v>
      </c>
      <c r="C57" s="12">
        <v>20</v>
      </c>
      <c r="D57" s="8">
        <v>2.4300000000000002</v>
      </c>
      <c r="E57" s="12">
        <v>16</v>
      </c>
      <c r="F57" s="8">
        <v>2.79</v>
      </c>
      <c r="G57" s="12">
        <v>4</v>
      </c>
      <c r="H57" s="8">
        <v>1.63</v>
      </c>
      <c r="I57" s="12">
        <v>0</v>
      </c>
    </row>
    <row r="58" spans="2:9" ht="15" customHeight="1" x14ac:dyDescent="0.15">
      <c r="B58" t="s">
        <v>167</v>
      </c>
      <c r="C58" s="12">
        <v>19</v>
      </c>
      <c r="D58" s="8">
        <v>2.31</v>
      </c>
      <c r="E58" s="12">
        <v>17</v>
      </c>
      <c r="F58" s="8">
        <v>2.96</v>
      </c>
      <c r="G58" s="12">
        <v>2</v>
      </c>
      <c r="H58" s="8">
        <v>0.82</v>
      </c>
      <c r="I58" s="12">
        <v>0</v>
      </c>
    </row>
    <row r="59" spans="2:9" ht="15" customHeight="1" x14ac:dyDescent="0.15">
      <c r="B59" t="s">
        <v>134</v>
      </c>
      <c r="C59" s="12">
        <v>19</v>
      </c>
      <c r="D59" s="8">
        <v>2.31</v>
      </c>
      <c r="E59" s="12">
        <v>17</v>
      </c>
      <c r="F59" s="8">
        <v>2.96</v>
      </c>
      <c r="G59" s="12">
        <v>2</v>
      </c>
      <c r="H59" s="8">
        <v>0.82</v>
      </c>
      <c r="I59" s="12">
        <v>0</v>
      </c>
    </row>
    <row r="60" spans="2:9" ht="15" customHeight="1" x14ac:dyDescent="0.15">
      <c r="B60" t="s">
        <v>143</v>
      </c>
      <c r="C60" s="12">
        <v>17</v>
      </c>
      <c r="D60" s="8">
        <v>2.06</v>
      </c>
      <c r="E60" s="12">
        <v>17</v>
      </c>
      <c r="F60" s="8">
        <v>2.96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138</v>
      </c>
      <c r="C61" s="12">
        <v>16</v>
      </c>
      <c r="D61" s="8">
        <v>1.94</v>
      </c>
      <c r="E61" s="12">
        <v>15</v>
      </c>
      <c r="F61" s="8">
        <v>2.61</v>
      </c>
      <c r="G61" s="12">
        <v>1</v>
      </c>
      <c r="H61" s="8">
        <v>0.41</v>
      </c>
      <c r="I61" s="12">
        <v>0</v>
      </c>
    </row>
    <row r="62" spans="2:9" ht="15" customHeight="1" x14ac:dyDescent="0.15">
      <c r="B62" t="s">
        <v>142</v>
      </c>
      <c r="C62" s="12">
        <v>16</v>
      </c>
      <c r="D62" s="8">
        <v>1.94</v>
      </c>
      <c r="E62" s="12">
        <v>14</v>
      </c>
      <c r="F62" s="8">
        <v>2.44</v>
      </c>
      <c r="G62" s="12">
        <v>2</v>
      </c>
      <c r="H62" s="8">
        <v>0.82</v>
      </c>
      <c r="I62" s="12">
        <v>0</v>
      </c>
    </row>
    <row r="63" spans="2:9" ht="15" customHeight="1" x14ac:dyDescent="0.15">
      <c r="B63" t="s">
        <v>127</v>
      </c>
      <c r="C63" s="12">
        <v>14</v>
      </c>
      <c r="D63" s="8">
        <v>1.7</v>
      </c>
      <c r="E63" s="12">
        <v>9</v>
      </c>
      <c r="F63" s="8">
        <v>1.57</v>
      </c>
      <c r="G63" s="12">
        <v>5</v>
      </c>
      <c r="H63" s="8">
        <v>2.04</v>
      </c>
      <c r="I63" s="12">
        <v>0</v>
      </c>
    </row>
    <row r="64" spans="2:9" ht="15" customHeight="1" x14ac:dyDescent="0.15">
      <c r="B64" t="s">
        <v>128</v>
      </c>
      <c r="C64" s="12">
        <v>14</v>
      </c>
      <c r="D64" s="8">
        <v>1.7</v>
      </c>
      <c r="E64" s="12">
        <v>11</v>
      </c>
      <c r="F64" s="8">
        <v>1.92</v>
      </c>
      <c r="G64" s="12">
        <v>3</v>
      </c>
      <c r="H64" s="8">
        <v>1.22</v>
      </c>
      <c r="I64" s="12">
        <v>0</v>
      </c>
    </row>
    <row r="65" spans="2:9" ht="15" customHeight="1" x14ac:dyDescent="0.15">
      <c r="B65" t="s">
        <v>131</v>
      </c>
      <c r="C65" s="12">
        <v>14</v>
      </c>
      <c r="D65" s="8">
        <v>1.7</v>
      </c>
      <c r="E65" s="12">
        <v>5</v>
      </c>
      <c r="F65" s="8">
        <v>0.87</v>
      </c>
      <c r="G65" s="12">
        <v>9</v>
      </c>
      <c r="H65" s="8">
        <v>3.67</v>
      </c>
      <c r="I65" s="12">
        <v>0</v>
      </c>
    </row>
    <row r="66" spans="2:9" ht="15" customHeight="1" x14ac:dyDescent="0.15">
      <c r="B66" t="s">
        <v>155</v>
      </c>
      <c r="C66" s="12">
        <v>13</v>
      </c>
      <c r="D66" s="8">
        <v>1.58</v>
      </c>
      <c r="E66" s="12">
        <v>12</v>
      </c>
      <c r="F66" s="8">
        <v>2.09</v>
      </c>
      <c r="G66" s="12">
        <v>1</v>
      </c>
      <c r="H66" s="8">
        <v>0.41</v>
      </c>
      <c r="I66" s="12">
        <v>0</v>
      </c>
    </row>
    <row r="67" spans="2:9" ht="15" customHeight="1" x14ac:dyDescent="0.15">
      <c r="B67" t="s">
        <v>135</v>
      </c>
      <c r="C67" s="12">
        <v>13</v>
      </c>
      <c r="D67" s="8">
        <v>1.58</v>
      </c>
      <c r="E67" s="12">
        <v>13</v>
      </c>
      <c r="F67" s="8">
        <v>2.2599999999999998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159</v>
      </c>
      <c r="C68" s="12">
        <v>11</v>
      </c>
      <c r="D68" s="8">
        <v>1.33</v>
      </c>
      <c r="E68" s="12">
        <v>7</v>
      </c>
      <c r="F68" s="8">
        <v>1.22</v>
      </c>
      <c r="G68" s="12">
        <v>4</v>
      </c>
      <c r="H68" s="8">
        <v>1.63</v>
      </c>
      <c r="I68" s="12">
        <v>0</v>
      </c>
    </row>
    <row r="69" spans="2:9" ht="15" customHeight="1" x14ac:dyDescent="0.15">
      <c r="B69" t="s">
        <v>172</v>
      </c>
      <c r="C69" s="12">
        <v>11</v>
      </c>
      <c r="D69" s="8">
        <v>1.33</v>
      </c>
      <c r="E69" s="12">
        <v>0</v>
      </c>
      <c r="F69" s="8">
        <v>0</v>
      </c>
      <c r="G69" s="12">
        <v>11</v>
      </c>
      <c r="H69" s="8">
        <v>4.49</v>
      </c>
      <c r="I69" s="12">
        <v>0</v>
      </c>
    </row>
    <row r="70" spans="2:9" ht="15" customHeight="1" x14ac:dyDescent="0.15">
      <c r="B70" t="s">
        <v>150</v>
      </c>
      <c r="C70" s="12">
        <v>11</v>
      </c>
      <c r="D70" s="8">
        <v>1.33</v>
      </c>
      <c r="E70" s="12">
        <v>8</v>
      </c>
      <c r="F70" s="8">
        <v>1.39</v>
      </c>
      <c r="G70" s="12">
        <v>3</v>
      </c>
      <c r="H70" s="8">
        <v>1.22</v>
      </c>
      <c r="I70" s="12">
        <v>0</v>
      </c>
    </row>
    <row r="71" spans="2:9" ht="15" customHeight="1" x14ac:dyDescent="0.15">
      <c r="B71" t="s">
        <v>166</v>
      </c>
      <c r="C71" s="12">
        <v>11</v>
      </c>
      <c r="D71" s="8">
        <v>1.33</v>
      </c>
      <c r="E71" s="12">
        <v>8</v>
      </c>
      <c r="F71" s="8">
        <v>1.39</v>
      </c>
      <c r="G71" s="12">
        <v>3</v>
      </c>
      <c r="H71" s="8">
        <v>1.22</v>
      </c>
      <c r="I71" s="12">
        <v>0</v>
      </c>
    </row>
    <row r="73" spans="2:9" ht="15" customHeight="1" x14ac:dyDescent="0.15">
      <c r="B73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336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414</v>
      </c>
      <c r="D6" s="8">
        <v>20.67</v>
      </c>
      <c r="E6" s="12">
        <v>281</v>
      </c>
      <c r="F6" s="8">
        <v>20.420000000000002</v>
      </c>
      <c r="G6" s="12">
        <v>133</v>
      </c>
      <c r="H6" s="8">
        <v>21.49</v>
      </c>
      <c r="I6" s="12">
        <v>0</v>
      </c>
    </row>
    <row r="7" spans="2:9" ht="15" customHeight="1" x14ac:dyDescent="0.15">
      <c r="B7" t="s">
        <v>53</v>
      </c>
      <c r="C7" s="12">
        <v>328</v>
      </c>
      <c r="D7" s="8">
        <v>16.38</v>
      </c>
      <c r="E7" s="12">
        <v>202</v>
      </c>
      <c r="F7" s="8">
        <v>14.68</v>
      </c>
      <c r="G7" s="12">
        <v>125</v>
      </c>
      <c r="H7" s="8">
        <v>20.190000000000001</v>
      </c>
      <c r="I7" s="12">
        <v>1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8</v>
      </c>
      <c r="D9" s="8">
        <v>0.4</v>
      </c>
      <c r="E9" s="12">
        <v>0</v>
      </c>
      <c r="F9" s="8">
        <v>0</v>
      </c>
      <c r="G9" s="12">
        <v>8</v>
      </c>
      <c r="H9" s="8">
        <v>1.29</v>
      </c>
      <c r="I9" s="12">
        <v>0</v>
      </c>
    </row>
    <row r="10" spans="2:9" ht="15" customHeight="1" x14ac:dyDescent="0.15">
      <c r="B10" t="s">
        <v>56</v>
      </c>
      <c r="C10" s="12">
        <v>18</v>
      </c>
      <c r="D10" s="8">
        <v>0.9</v>
      </c>
      <c r="E10" s="12">
        <v>4</v>
      </c>
      <c r="F10" s="8">
        <v>0.28999999999999998</v>
      </c>
      <c r="G10" s="12">
        <v>13</v>
      </c>
      <c r="H10" s="8">
        <v>2.1</v>
      </c>
      <c r="I10" s="12">
        <v>1</v>
      </c>
    </row>
    <row r="11" spans="2:9" ht="15" customHeight="1" x14ac:dyDescent="0.15">
      <c r="B11" t="s">
        <v>57</v>
      </c>
      <c r="C11" s="12">
        <v>481</v>
      </c>
      <c r="D11" s="8">
        <v>24.01</v>
      </c>
      <c r="E11" s="12">
        <v>309</v>
      </c>
      <c r="F11" s="8">
        <v>22.46</v>
      </c>
      <c r="G11" s="12">
        <v>170</v>
      </c>
      <c r="H11" s="8">
        <v>27.46</v>
      </c>
      <c r="I11" s="12">
        <v>2</v>
      </c>
    </row>
    <row r="12" spans="2:9" ht="15" customHeight="1" x14ac:dyDescent="0.15">
      <c r="B12" t="s">
        <v>58</v>
      </c>
      <c r="C12" s="12">
        <v>3</v>
      </c>
      <c r="D12" s="8">
        <v>0.15</v>
      </c>
      <c r="E12" s="12">
        <v>0</v>
      </c>
      <c r="F12" s="8">
        <v>0</v>
      </c>
      <c r="G12" s="12">
        <v>3</v>
      </c>
      <c r="H12" s="8">
        <v>0.48</v>
      </c>
      <c r="I12" s="12">
        <v>0</v>
      </c>
    </row>
    <row r="13" spans="2:9" ht="15" customHeight="1" x14ac:dyDescent="0.15">
      <c r="B13" t="s">
        <v>59</v>
      </c>
      <c r="C13" s="12">
        <v>75</v>
      </c>
      <c r="D13" s="8">
        <v>3.74</v>
      </c>
      <c r="E13" s="12">
        <v>31</v>
      </c>
      <c r="F13" s="8">
        <v>2.25</v>
      </c>
      <c r="G13" s="12">
        <v>44</v>
      </c>
      <c r="H13" s="8">
        <v>7.11</v>
      </c>
      <c r="I13" s="12">
        <v>0</v>
      </c>
    </row>
    <row r="14" spans="2:9" ht="15" customHeight="1" x14ac:dyDescent="0.15">
      <c r="B14" t="s">
        <v>60</v>
      </c>
      <c r="C14" s="12">
        <v>66</v>
      </c>
      <c r="D14" s="8">
        <v>3.3</v>
      </c>
      <c r="E14" s="12">
        <v>53</v>
      </c>
      <c r="F14" s="8">
        <v>3.85</v>
      </c>
      <c r="G14" s="12">
        <v>13</v>
      </c>
      <c r="H14" s="8">
        <v>2.1</v>
      </c>
      <c r="I14" s="12">
        <v>0</v>
      </c>
    </row>
    <row r="15" spans="2:9" ht="15" customHeight="1" x14ac:dyDescent="0.15">
      <c r="B15" t="s">
        <v>61</v>
      </c>
      <c r="C15" s="12">
        <v>183</v>
      </c>
      <c r="D15" s="8">
        <v>9.14</v>
      </c>
      <c r="E15" s="12">
        <v>169</v>
      </c>
      <c r="F15" s="8">
        <v>12.28</v>
      </c>
      <c r="G15" s="12">
        <v>12</v>
      </c>
      <c r="H15" s="8">
        <v>1.94</v>
      </c>
      <c r="I15" s="12">
        <v>2</v>
      </c>
    </row>
    <row r="16" spans="2:9" ht="15" customHeight="1" x14ac:dyDescent="0.15">
      <c r="B16" t="s">
        <v>62</v>
      </c>
      <c r="C16" s="12">
        <v>223</v>
      </c>
      <c r="D16" s="8">
        <v>11.13</v>
      </c>
      <c r="E16" s="12">
        <v>189</v>
      </c>
      <c r="F16" s="8">
        <v>13.74</v>
      </c>
      <c r="G16" s="12">
        <v>34</v>
      </c>
      <c r="H16" s="8">
        <v>5.49</v>
      </c>
      <c r="I16" s="12">
        <v>0</v>
      </c>
    </row>
    <row r="17" spans="2:9" ht="15" customHeight="1" x14ac:dyDescent="0.15">
      <c r="B17" t="s">
        <v>63</v>
      </c>
      <c r="C17" s="12">
        <v>71</v>
      </c>
      <c r="D17" s="8">
        <v>3.54</v>
      </c>
      <c r="E17" s="12">
        <v>62</v>
      </c>
      <c r="F17" s="8">
        <v>4.51</v>
      </c>
      <c r="G17" s="12">
        <v>9</v>
      </c>
      <c r="H17" s="8">
        <v>1.45</v>
      </c>
      <c r="I17" s="12">
        <v>0</v>
      </c>
    </row>
    <row r="18" spans="2:9" ht="15" customHeight="1" x14ac:dyDescent="0.15">
      <c r="B18" t="s">
        <v>64</v>
      </c>
      <c r="C18" s="12">
        <v>79</v>
      </c>
      <c r="D18" s="8">
        <v>3.94</v>
      </c>
      <c r="E18" s="12">
        <v>39</v>
      </c>
      <c r="F18" s="8">
        <v>2.83</v>
      </c>
      <c r="G18" s="12">
        <v>40</v>
      </c>
      <c r="H18" s="8">
        <v>6.46</v>
      </c>
      <c r="I18" s="12">
        <v>0</v>
      </c>
    </row>
    <row r="19" spans="2:9" ht="15" customHeight="1" x14ac:dyDescent="0.15">
      <c r="B19" t="s">
        <v>65</v>
      </c>
      <c r="C19" s="12">
        <v>54</v>
      </c>
      <c r="D19" s="8">
        <v>2.7</v>
      </c>
      <c r="E19" s="12">
        <v>37</v>
      </c>
      <c r="F19" s="8">
        <v>2.69</v>
      </c>
      <c r="G19" s="12">
        <v>15</v>
      </c>
      <c r="H19" s="8">
        <v>2.42</v>
      </c>
      <c r="I19" s="12">
        <v>2</v>
      </c>
    </row>
    <row r="20" spans="2:9" ht="15" customHeight="1" x14ac:dyDescent="0.15">
      <c r="B20" s="9" t="s">
        <v>215</v>
      </c>
      <c r="C20" s="12">
        <f>SUM(LTBL_28223[総数／事業所数])</f>
        <v>2003</v>
      </c>
      <c r="E20" s="12">
        <f>SUBTOTAL(109,LTBL_28223[個人／事業所数])</f>
        <v>1376</v>
      </c>
      <c r="G20" s="12">
        <f>SUBTOTAL(109,LTBL_28223[法人／事業所数])</f>
        <v>619</v>
      </c>
      <c r="I20" s="12">
        <f>SUBTOTAL(109,LTBL_28223[法人以外の団体／事業所数])</f>
        <v>8</v>
      </c>
    </row>
    <row r="21" spans="2:9" ht="15" customHeight="1" x14ac:dyDescent="0.15">
      <c r="E21" s="11">
        <f>LTBL_28223[[#Totals],[個人／事業所数]]/LTBL_28223[[#Totals],[総数／事業所数]]</f>
        <v>0.68696954568147783</v>
      </c>
      <c r="G21" s="11">
        <f>LTBL_28223[[#Totals],[法人／事業所数]]/LTBL_28223[[#Totals],[総数／事業所数]]</f>
        <v>0.30903644533200197</v>
      </c>
      <c r="I21" s="11">
        <f>LTBL_28223[[#Totals],[法人以外の団体／事業所数]]/LTBL_28223[[#Totals],[総数／事業所数]]</f>
        <v>3.99400898652022E-3</v>
      </c>
    </row>
    <row r="23" spans="2:9" ht="33" customHeight="1" x14ac:dyDescent="0.15">
      <c r="B23" t="s">
        <v>214</v>
      </c>
      <c r="C23" s="10" t="s">
        <v>67</v>
      </c>
      <c r="D23" s="10" t="s">
        <v>221</v>
      </c>
      <c r="E23" s="10" t="s">
        <v>69</v>
      </c>
      <c r="F23" s="10" t="s">
        <v>337</v>
      </c>
      <c r="G23" s="10" t="s">
        <v>71</v>
      </c>
      <c r="H23" s="10" t="s">
        <v>313</v>
      </c>
      <c r="I23" s="10" t="s">
        <v>73</v>
      </c>
    </row>
    <row r="24" spans="2:9" ht="15" customHeight="1" x14ac:dyDescent="0.15">
      <c r="B24" t="s">
        <v>217</v>
      </c>
      <c r="C24">
        <v>11</v>
      </c>
      <c r="D24" t="s">
        <v>216</v>
      </c>
      <c r="E24">
        <v>0</v>
      </c>
      <c r="F24" t="s">
        <v>218</v>
      </c>
      <c r="G24">
        <v>11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338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74</v>
      </c>
      <c r="C29" s="12">
        <v>195</v>
      </c>
      <c r="D29" s="8">
        <v>9.74</v>
      </c>
      <c r="E29" s="12">
        <v>105</v>
      </c>
      <c r="F29" s="8">
        <v>7.63</v>
      </c>
      <c r="G29" s="12">
        <v>90</v>
      </c>
      <c r="H29" s="8">
        <v>14.54</v>
      </c>
      <c r="I29" s="12">
        <v>0</v>
      </c>
    </row>
    <row r="30" spans="2:9" ht="15" customHeight="1" x14ac:dyDescent="0.15">
      <c r="B30" t="s">
        <v>90</v>
      </c>
      <c r="C30" s="12">
        <v>191</v>
      </c>
      <c r="D30" s="8">
        <v>9.5399999999999991</v>
      </c>
      <c r="E30" s="12">
        <v>176</v>
      </c>
      <c r="F30" s="8">
        <v>12.79</v>
      </c>
      <c r="G30" s="12">
        <v>15</v>
      </c>
      <c r="H30" s="8">
        <v>2.42</v>
      </c>
      <c r="I30" s="12">
        <v>0</v>
      </c>
    </row>
    <row r="31" spans="2:9" ht="15" customHeight="1" x14ac:dyDescent="0.15">
      <c r="B31" t="s">
        <v>89</v>
      </c>
      <c r="C31" s="12">
        <v>160</v>
      </c>
      <c r="D31" s="8">
        <v>7.99</v>
      </c>
      <c r="E31" s="12">
        <v>149</v>
      </c>
      <c r="F31" s="8">
        <v>10.83</v>
      </c>
      <c r="G31" s="12">
        <v>10</v>
      </c>
      <c r="H31" s="8">
        <v>1.62</v>
      </c>
      <c r="I31" s="12">
        <v>1</v>
      </c>
    </row>
    <row r="32" spans="2:9" ht="15" customHeight="1" x14ac:dyDescent="0.15">
      <c r="B32" t="s">
        <v>84</v>
      </c>
      <c r="C32" s="12">
        <v>157</v>
      </c>
      <c r="D32" s="8">
        <v>7.84</v>
      </c>
      <c r="E32" s="12">
        <v>91</v>
      </c>
      <c r="F32" s="8">
        <v>6.61</v>
      </c>
      <c r="G32" s="12">
        <v>66</v>
      </c>
      <c r="H32" s="8">
        <v>10.66</v>
      </c>
      <c r="I32" s="12">
        <v>0</v>
      </c>
    </row>
    <row r="33" spans="2:9" ht="15" customHeight="1" x14ac:dyDescent="0.15">
      <c r="B33" t="s">
        <v>75</v>
      </c>
      <c r="C33" s="12">
        <v>145</v>
      </c>
      <c r="D33" s="8">
        <v>7.24</v>
      </c>
      <c r="E33" s="12">
        <v>128</v>
      </c>
      <c r="F33" s="8">
        <v>9.3000000000000007</v>
      </c>
      <c r="G33" s="12">
        <v>17</v>
      </c>
      <c r="H33" s="8">
        <v>2.75</v>
      </c>
      <c r="I33" s="12">
        <v>0</v>
      </c>
    </row>
    <row r="34" spans="2:9" ht="15" customHeight="1" x14ac:dyDescent="0.15">
      <c r="B34" t="s">
        <v>82</v>
      </c>
      <c r="C34" s="12">
        <v>83</v>
      </c>
      <c r="D34" s="8">
        <v>4.1399999999999997</v>
      </c>
      <c r="E34" s="12">
        <v>71</v>
      </c>
      <c r="F34" s="8">
        <v>5.16</v>
      </c>
      <c r="G34" s="12">
        <v>11</v>
      </c>
      <c r="H34" s="8">
        <v>1.78</v>
      </c>
      <c r="I34" s="12">
        <v>1</v>
      </c>
    </row>
    <row r="35" spans="2:9" ht="15" customHeight="1" x14ac:dyDescent="0.15">
      <c r="B35" t="s">
        <v>83</v>
      </c>
      <c r="C35" s="12">
        <v>76</v>
      </c>
      <c r="D35" s="8">
        <v>3.79</v>
      </c>
      <c r="E35" s="12">
        <v>58</v>
      </c>
      <c r="F35" s="8">
        <v>4.22</v>
      </c>
      <c r="G35" s="12">
        <v>18</v>
      </c>
      <c r="H35" s="8">
        <v>2.91</v>
      </c>
      <c r="I35" s="12">
        <v>0</v>
      </c>
    </row>
    <row r="36" spans="2:9" ht="15" customHeight="1" x14ac:dyDescent="0.15">
      <c r="B36" t="s">
        <v>76</v>
      </c>
      <c r="C36" s="12">
        <v>74</v>
      </c>
      <c r="D36" s="8">
        <v>3.69</v>
      </c>
      <c r="E36" s="12">
        <v>48</v>
      </c>
      <c r="F36" s="8">
        <v>3.49</v>
      </c>
      <c r="G36" s="12">
        <v>26</v>
      </c>
      <c r="H36" s="8">
        <v>4.2</v>
      </c>
      <c r="I36" s="12">
        <v>0</v>
      </c>
    </row>
    <row r="37" spans="2:9" ht="15" customHeight="1" x14ac:dyDescent="0.15">
      <c r="B37" t="s">
        <v>92</v>
      </c>
      <c r="C37" s="12">
        <v>71</v>
      </c>
      <c r="D37" s="8">
        <v>3.54</v>
      </c>
      <c r="E37" s="12">
        <v>62</v>
      </c>
      <c r="F37" s="8">
        <v>4.51</v>
      </c>
      <c r="G37" s="12">
        <v>9</v>
      </c>
      <c r="H37" s="8">
        <v>1.45</v>
      </c>
      <c r="I37" s="12">
        <v>0</v>
      </c>
    </row>
    <row r="38" spans="2:9" ht="15" customHeight="1" x14ac:dyDescent="0.15">
      <c r="B38" t="s">
        <v>81</v>
      </c>
      <c r="C38" s="12">
        <v>64</v>
      </c>
      <c r="D38" s="8">
        <v>3.2</v>
      </c>
      <c r="E38" s="12">
        <v>40</v>
      </c>
      <c r="F38" s="8">
        <v>2.91</v>
      </c>
      <c r="G38" s="12">
        <v>24</v>
      </c>
      <c r="H38" s="8">
        <v>3.88</v>
      </c>
      <c r="I38" s="12">
        <v>0</v>
      </c>
    </row>
    <row r="39" spans="2:9" ht="15" customHeight="1" x14ac:dyDescent="0.15">
      <c r="B39" t="s">
        <v>86</v>
      </c>
      <c r="C39" s="12">
        <v>56</v>
      </c>
      <c r="D39" s="8">
        <v>2.8</v>
      </c>
      <c r="E39" s="12">
        <v>27</v>
      </c>
      <c r="F39" s="8">
        <v>1.96</v>
      </c>
      <c r="G39" s="12">
        <v>29</v>
      </c>
      <c r="H39" s="8">
        <v>4.68</v>
      </c>
      <c r="I39" s="12">
        <v>0</v>
      </c>
    </row>
    <row r="40" spans="2:9" ht="15" customHeight="1" x14ac:dyDescent="0.15">
      <c r="B40" t="s">
        <v>110</v>
      </c>
      <c r="C40" s="12">
        <v>51</v>
      </c>
      <c r="D40" s="8">
        <v>2.5499999999999998</v>
      </c>
      <c r="E40" s="12">
        <v>40</v>
      </c>
      <c r="F40" s="8">
        <v>2.91</v>
      </c>
      <c r="G40" s="12">
        <v>11</v>
      </c>
      <c r="H40" s="8">
        <v>1.78</v>
      </c>
      <c r="I40" s="12">
        <v>0</v>
      </c>
    </row>
    <row r="41" spans="2:9" ht="15" customHeight="1" x14ac:dyDescent="0.15">
      <c r="B41" t="s">
        <v>93</v>
      </c>
      <c r="C41" s="12">
        <v>46</v>
      </c>
      <c r="D41" s="8">
        <v>2.2999999999999998</v>
      </c>
      <c r="E41" s="12">
        <v>39</v>
      </c>
      <c r="F41" s="8">
        <v>2.83</v>
      </c>
      <c r="G41" s="12">
        <v>7</v>
      </c>
      <c r="H41" s="8">
        <v>1.1299999999999999</v>
      </c>
      <c r="I41" s="12">
        <v>0</v>
      </c>
    </row>
    <row r="42" spans="2:9" ht="15" customHeight="1" x14ac:dyDescent="0.15">
      <c r="B42" t="s">
        <v>87</v>
      </c>
      <c r="C42" s="12">
        <v>41</v>
      </c>
      <c r="D42" s="8">
        <v>2.0499999999999998</v>
      </c>
      <c r="E42" s="12">
        <v>39</v>
      </c>
      <c r="F42" s="8">
        <v>2.83</v>
      </c>
      <c r="G42" s="12">
        <v>2</v>
      </c>
      <c r="H42" s="8">
        <v>0.32</v>
      </c>
      <c r="I42" s="12">
        <v>0</v>
      </c>
    </row>
    <row r="43" spans="2:9" ht="15" customHeight="1" x14ac:dyDescent="0.15">
      <c r="B43" t="s">
        <v>113</v>
      </c>
      <c r="C43" s="12">
        <v>38</v>
      </c>
      <c r="D43" s="8">
        <v>1.9</v>
      </c>
      <c r="E43" s="12">
        <v>24</v>
      </c>
      <c r="F43" s="8">
        <v>1.74</v>
      </c>
      <c r="G43" s="12">
        <v>14</v>
      </c>
      <c r="H43" s="8">
        <v>2.2599999999999998</v>
      </c>
      <c r="I43" s="12">
        <v>0</v>
      </c>
    </row>
    <row r="44" spans="2:9" ht="15" customHeight="1" x14ac:dyDescent="0.15">
      <c r="B44" t="s">
        <v>94</v>
      </c>
      <c r="C44" s="12">
        <v>33</v>
      </c>
      <c r="D44" s="8">
        <v>1.65</v>
      </c>
      <c r="E44" s="12">
        <v>0</v>
      </c>
      <c r="F44" s="8">
        <v>0</v>
      </c>
      <c r="G44" s="12">
        <v>33</v>
      </c>
      <c r="H44" s="8">
        <v>5.33</v>
      </c>
      <c r="I44" s="12">
        <v>0</v>
      </c>
    </row>
    <row r="45" spans="2:9" ht="15" customHeight="1" x14ac:dyDescent="0.15">
      <c r="B45" t="s">
        <v>119</v>
      </c>
      <c r="C45" s="12">
        <v>30</v>
      </c>
      <c r="D45" s="8">
        <v>1.5</v>
      </c>
      <c r="E45" s="12">
        <v>24</v>
      </c>
      <c r="F45" s="8">
        <v>1.74</v>
      </c>
      <c r="G45" s="12">
        <v>6</v>
      </c>
      <c r="H45" s="8">
        <v>0.97</v>
      </c>
      <c r="I45" s="12">
        <v>0</v>
      </c>
    </row>
    <row r="46" spans="2:9" ht="15" customHeight="1" x14ac:dyDescent="0.15">
      <c r="B46" t="s">
        <v>112</v>
      </c>
      <c r="C46" s="12">
        <v>28</v>
      </c>
      <c r="D46" s="8">
        <v>1.4</v>
      </c>
      <c r="E46" s="12">
        <v>21</v>
      </c>
      <c r="F46" s="8">
        <v>1.53</v>
      </c>
      <c r="G46" s="12">
        <v>7</v>
      </c>
      <c r="H46" s="8">
        <v>1.1299999999999999</v>
      </c>
      <c r="I46" s="12">
        <v>0</v>
      </c>
    </row>
    <row r="47" spans="2:9" ht="15" customHeight="1" x14ac:dyDescent="0.15">
      <c r="B47" t="s">
        <v>78</v>
      </c>
      <c r="C47" s="12">
        <v>27</v>
      </c>
      <c r="D47" s="8">
        <v>1.35</v>
      </c>
      <c r="E47" s="12">
        <v>13</v>
      </c>
      <c r="F47" s="8">
        <v>0.94</v>
      </c>
      <c r="G47" s="12">
        <v>14</v>
      </c>
      <c r="H47" s="8">
        <v>2.2599999999999998</v>
      </c>
      <c r="I47" s="12">
        <v>0</v>
      </c>
    </row>
    <row r="48" spans="2:9" ht="15" customHeight="1" x14ac:dyDescent="0.15">
      <c r="B48" t="s">
        <v>106</v>
      </c>
      <c r="C48" s="12">
        <v>26</v>
      </c>
      <c r="D48" s="8">
        <v>1.3</v>
      </c>
      <c r="E48" s="12">
        <v>25</v>
      </c>
      <c r="F48" s="8">
        <v>1.82</v>
      </c>
      <c r="G48" s="12">
        <v>1</v>
      </c>
      <c r="H48" s="8">
        <v>0.16</v>
      </c>
      <c r="I48" s="12">
        <v>0</v>
      </c>
    </row>
    <row r="51" spans="2:9" ht="33" customHeight="1" x14ac:dyDescent="0.15">
      <c r="B51" t="s">
        <v>230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141</v>
      </c>
      <c r="C52" s="12">
        <v>95</v>
      </c>
      <c r="D52" s="8">
        <v>4.74</v>
      </c>
      <c r="E52" s="12">
        <v>90</v>
      </c>
      <c r="F52" s="8">
        <v>6.54</v>
      </c>
      <c r="G52" s="12">
        <v>5</v>
      </c>
      <c r="H52" s="8">
        <v>0.81</v>
      </c>
      <c r="I52" s="12">
        <v>0</v>
      </c>
    </row>
    <row r="53" spans="2:9" ht="15" customHeight="1" x14ac:dyDescent="0.15">
      <c r="B53" t="s">
        <v>125</v>
      </c>
      <c r="C53" s="12">
        <v>85</v>
      </c>
      <c r="D53" s="8">
        <v>4.24</v>
      </c>
      <c r="E53" s="12">
        <v>34</v>
      </c>
      <c r="F53" s="8">
        <v>2.4700000000000002</v>
      </c>
      <c r="G53" s="12">
        <v>51</v>
      </c>
      <c r="H53" s="8">
        <v>8.24</v>
      </c>
      <c r="I53" s="12">
        <v>0</v>
      </c>
    </row>
    <row r="54" spans="2:9" ht="15" customHeight="1" x14ac:dyDescent="0.15">
      <c r="B54" t="s">
        <v>140</v>
      </c>
      <c r="C54" s="12">
        <v>71</v>
      </c>
      <c r="D54" s="8">
        <v>3.54</v>
      </c>
      <c r="E54" s="12">
        <v>69</v>
      </c>
      <c r="F54" s="8">
        <v>5.01</v>
      </c>
      <c r="G54" s="12">
        <v>2</v>
      </c>
      <c r="H54" s="8">
        <v>0.32</v>
      </c>
      <c r="I54" s="12">
        <v>0</v>
      </c>
    </row>
    <row r="55" spans="2:9" ht="15" customHeight="1" x14ac:dyDescent="0.15">
      <c r="B55" t="s">
        <v>167</v>
      </c>
      <c r="C55" s="12">
        <v>58</v>
      </c>
      <c r="D55" s="8">
        <v>2.9</v>
      </c>
      <c r="E55" s="12">
        <v>44</v>
      </c>
      <c r="F55" s="8">
        <v>3.2</v>
      </c>
      <c r="G55" s="12">
        <v>14</v>
      </c>
      <c r="H55" s="8">
        <v>2.2599999999999998</v>
      </c>
      <c r="I55" s="12">
        <v>0</v>
      </c>
    </row>
    <row r="56" spans="2:9" ht="15" customHeight="1" x14ac:dyDescent="0.15">
      <c r="B56" t="s">
        <v>130</v>
      </c>
      <c r="C56" s="12">
        <v>48</v>
      </c>
      <c r="D56" s="8">
        <v>2.4</v>
      </c>
      <c r="E56" s="12">
        <v>32</v>
      </c>
      <c r="F56" s="8">
        <v>2.33</v>
      </c>
      <c r="G56" s="12">
        <v>16</v>
      </c>
      <c r="H56" s="8">
        <v>2.58</v>
      </c>
      <c r="I56" s="12">
        <v>0</v>
      </c>
    </row>
    <row r="57" spans="2:9" ht="15" customHeight="1" x14ac:dyDescent="0.15">
      <c r="B57" t="s">
        <v>132</v>
      </c>
      <c r="C57" s="12">
        <v>46</v>
      </c>
      <c r="D57" s="8">
        <v>2.2999999999999998</v>
      </c>
      <c r="E57" s="12">
        <v>33</v>
      </c>
      <c r="F57" s="8">
        <v>2.4</v>
      </c>
      <c r="G57" s="12">
        <v>13</v>
      </c>
      <c r="H57" s="8">
        <v>2.1</v>
      </c>
      <c r="I57" s="12">
        <v>0</v>
      </c>
    </row>
    <row r="58" spans="2:9" ht="15" customHeight="1" x14ac:dyDescent="0.15">
      <c r="B58" t="s">
        <v>143</v>
      </c>
      <c r="C58" s="12">
        <v>41</v>
      </c>
      <c r="D58" s="8">
        <v>2.0499999999999998</v>
      </c>
      <c r="E58" s="12">
        <v>37</v>
      </c>
      <c r="F58" s="8">
        <v>2.69</v>
      </c>
      <c r="G58" s="12">
        <v>4</v>
      </c>
      <c r="H58" s="8">
        <v>0.65</v>
      </c>
      <c r="I58" s="12">
        <v>0</v>
      </c>
    </row>
    <row r="59" spans="2:9" ht="15" customHeight="1" x14ac:dyDescent="0.15">
      <c r="B59" t="s">
        <v>137</v>
      </c>
      <c r="C59" s="12">
        <v>39</v>
      </c>
      <c r="D59" s="8">
        <v>1.95</v>
      </c>
      <c r="E59" s="12">
        <v>39</v>
      </c>
      <c r="F59" s="8">
        <v>2.83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127</v>
      </c>
      <c r="C60" s="12">
        <v>37</v>
      </c>
      <c r="D60" s="8">
        <v>1.85</v>
      </c>
      <c r="E60" s="12">
        <v>27</v>
      </c>
      <c r="F60" s="8">
        <v>1.96</v>
      </c>
      <c r="G60" s="12">
        <v>10</v>
      </c>
      <c r="H60" s="8">
        <v>1.62</v>
      </c>
      <c r="I60" s="12">
        <v>0</v>
      </c>
    </row>
    <row r="61" spans="2:9" ht="15" customHeight="1" x14ac:dyDescent="0.15">
      <c r="B61" t="s">
        <v>135</v>
      </c>
      <c r="C61" s="12">
        <v>36</v>
      </c>
      <c r="D61" s="8">
        <v>1.8</v>
      </c>
      <c r="E61" s="12">
        <v>29</v>
      </c>
      <c r="F61" s="8">
        <v>2.11</v>
      </c>
      <c r="G61" s="12">
        <v>7</v>
      </c>
      <c r="H61" s="8">
        <v>1.1299999999999999</v>
      </c>
      <c r="I61" s="12">
        <v>0</v>
      </c>
    </row>
    <row r="62" spans="2:9" ht="15" customHeight="1" x14ac:dyDescent="0.15">
      <c r="B62" t="s">
        <v>138</v>
      </c>
      <c r="C62" s="12">
        <v>36</v>
      </c>
      <c r="D62" s="8">
        <v>1.8</v>
      </c>
      <c r="E62" s="12">
        <v>36</v>
      </c>
      <c r="F62" s="8">
        <v>2.62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126</v>
      </c>
      <c r="C63" s="12">
        <v>32</v>
      </c>
      <c r="D63" s="8">
        <v>1.6</v>
      </c>
      <c r="E63" s="12">
        <v>15</v>
      </c>
      <c r="F63" s="8">
        <v>1.0900000000000001</v>
      </c>
      <c r="G63" s="12">
        <v>17</v>
      </c>
      <c r="H63" s="8">
        <v>2.75</v>
      </c>
      <c r="I63" s="12">
        <v>0</v>
      </c>
    </row>
    <row r="64" spans="2:9" ht="15" customHeight="1" x14ac:dyDescent="0.15">
      <c r="B64" t="s">
        <v>131</v>
      </c>
      <c r="C64" s="12">
        <v>32</v>
      </c>
      <c r="D64" s="8">
        <v>1.6</v>
      </c>
      <c r="E64" s="12">
        <v>17</v>
      </c>
      <c r="F64" s="8">
        <v>1.24</v>
      </c>
      <c r="G64" s="12">
        <v>15</v>
      </c>
      <c r="H64" s="8">
        <v>2.42</v>
      </c>
      <c r="I64" s="12">
        <v>0</v>
      </c>
    </row>
    <row r="65" spans="2:9" ht="15" customHeight="1" x14ac:dyDescent="0.15">
      <c r="B65" t="s">
        <v>160</v>
      </c>
      <c r="C65" s="12">
        <v>31</v>
      </c>
      <c r="D65" s="8">
        <v>1.55</v>
      </c>
      <c r="E65" s="12">
        <v>21</v>
      </c>
      <c r="F65" s="8">
        <v>1.53</v>
      </c>
      <c r="G65" s="12">
        <v>10</v>
      </c>
      <c r="H65" s="8">
        <v>1.62</v>
      </c>
      <c r="I65" s="12">
        <v>0</v>
      </c>
    </row>
    <row r="66" spans="2:9" ht="15" customHeight="1" x14ac:dyDescent="0.15">
      <c r="B66" t="s">
        <v>134</v>
      </c>
      <c r="C66" s="12">
        <v>30</v>
      </c>
      <c r="D66" s="8">
        <v>1.5</v>
      </c>
      <c r="E66" s="12">
        <v>19</v>
      </c>
      <c r="F66" s="8">
        <v>1.38</v>
      </c>
      <c r="G66" s="12">
        <v>11</v>
      </c>
      <c r="H66" s="8">
        <v>1.78</v>
      </c>
      <c r="I66" s="12">
        <v>0</v>
      </c>
    </row>
    <row r="67" spans="2:9" ht="15" customHeight="1" x14ac:dyDescent="0.15">
      <c r="B67" t="s">
        <v>128</v>
      </c>
      <c r="C67" s="12">
        <v>29</v>
      </c>
      <c r="D67" s="8">
        <v>1.45</v>
      </c>
      <c r="E67" s="12">
        <v>20</v>
      </c>
      <c r="F67" s="8">
        <v>1.45</v>
      </c>
      <c r="G67" s="12">
        <v>9</v>
      </c>
      <c r="H67" s="8">
        <v>1.45</v>
      </c>
      <c r="I67" s="12">
        <v>0</v>
      </c>
    </row>
    <row r="68" spans="2:9" ht="15" customHeight="1" x14ac:dyDescent="0.15">
      <c r="B68" t="s">
        <v>190</v>
      </c>
      <c r="C68" s="12">
        <v>28</v>
      </c>
      <c r="D68" s="8">
        <v>1.4</v>
      </c>
      <c r="E68" s="12">
        <v>22</v>
      </c>
      <c r="F68" s="8">
        <v>1.6</v>
      </c>
      <c r="G68" s="12">
        <v>6</v>
      </c>
      <c r="H68" s="8">
        <v>0.97</v>
      </c>
      <c r="I68" s="12">
        <v>0</v>
      </c>
    </row>
    <row r="69" spans="2:9" ht="15" customHeight="1" x14ac:dyDescent="0.15">
      <c r="B69" t="s">
        <v>142</v>
      </c>
      <c r="C69" s="12">
        <v>28</v>
      </c>
      <c r="D69" s="8">
        <v>1.4</v>
      </c>
      <c r="E69" s="12">
        <v>24</v>
      </c>
      <c r="F69" s="8">
        <v>1.74</v>
      </c>
      <c r="G69" s="12">
        <v>4</v>
      </c>
      <c r="H69" s="8">
        <v>0.65</v>
      </c>
      <c r="I69" s="12">
        <v>0</v>
      </c>
    </row>
    <row r="70" spans="2:9" ht="15" customHeight="1" x14ac:dyDescent="0.15">
      <c r="B70" t="s">
        <v>181</v>
      </c>
      <c r="C70" s="12">
        <v>27</v>
      </c>
      <c r="D70" s="8">
        <v>1.35</v>
      </c>
      <c r="E70" s="12">
        <v>27</v>
      </c>
      <c r="F70" s="8">
        <v>1.96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188</v>
      </c>
      <c r="C71" s="12">
        <v>26</v>
      </c>
      <c r="D71" s="8">
        <v>1.3</v>
      </c>
      <c r="E71" s="12">
        <v>24</v>
      </c>
      <c r="F71" s="8">
        <v>1.74</v>
      </c>
      <c r="G71" s="12">
        <v>2</v>
      </c>
      <c r="H71" s="8">
        <v>0.32</v>
      </c>
      <c r="I71" s="12">
        <v>0</v>
      </c>
    </row>
    <row r="72" spans="2:9" ht="15" customHeight="1" x14ac:dyDescent="0.15">
      <c r="B72" t="s">
        <v>191</v>
      </c>
      <c r="C72" s="12">
        <v>26</v>
      </c>
      <c r="D72" s="8">
        <v>1.3</v>
      </c>
      <c r="E72" s="12">
        <v>15</v>
      </c>
      <c r="F72" s="8">
        <v>1.0900000000000001</v>
      </c>
      <c r="G72" s="12">
        <v>11</v>
      </c>
      <c r="H72" s="8">
        <v>1.78</v>
      </c>
      <c r="I72" s="12">
        <v>0</v>
      </c>
    </row>
    <row r="73" spans="2:9" ht="15" customHeight="1" x14ac:dyDescent="0.15">
      <c r="B73" t="s">
        <v>166</v>
      </c>
      <c r="C73" s="12">
        <v>26</v>
      </c>
      <c r="D73" s="8">
        <v>1.3</v>
      </c>
      <c r="E73" s="12">
        <v>25</v>
      </c>
      <c r="F73" s="8">
        <v>1.82</v>
      </c>
      <c r="G73" s="12">
        <v>1</v>
      </c>
      <c r="H73" s="8">
        <v>0.16</v>
      </c>
      <c r="I73" s="12">
        <v>0</v>
      </c>
    </row>
    <row r="75" spans="2:9" ht="15" customHeight="1" x14ac:dyDescent="0.15">
      <c r="B75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339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194</v>
      </c>
      <c r="D6" s="8">
        <v>11.01</v>
      </c>
      <c r="E6" s="12">
        <v>120</v>
      </c>
      <c r="F6" s="8">
        <v>9.15</v>
      </c>
      <c r="G6" s="12">
        <v>74</v>
      </c>
      <c r="H6" s="8">
        <v>16.48</v>
      </c>
      <c r="I6" s="12">
        <v>0</v>
      </c>
    </row>
    <row r="7" spans="2:9" ht="15" customHeight="1" x14ac:dyDescent="0.15">
      <c r="B7" t="s">
        <v>53</v>
      </c>
      <c r="C7" s="12">
        <v>254</v>
      </c>
      <c r="D7" s="8">
        <v>14.42</v>
      </c>
      <c r="E7" s="12">
        <v>173</v>
      </c>
      <c r="F7" s="8">
        <v>13.2</v>
      </c>
      <c r="G7" s="12">
        <v>81</v>
      </c>
      <c r="H7" s="8">
        <v>18.04</v>
      </c>
      <c r="I7" s="12">
        <v>0</v>
      </c>
    </row>
    <row r="8" spans="2:9" ht="15" customHeight="1" x14ac:dyDescent="0.15">
      <c r="B8" t="s">
        <v>54</v>
      </c>
      <c r="C8" s="12">
        <v>1</v>
      </c>
      <c r="D8" s="8">
        <v>0.06</v>
      </c>
      <c r="E8" s="12">
        <v>0</v>
      </c>
      <c r="F8" s="8">
        <v>0</v>
      </c>
      <c r="G8" s="12">
        <v>1</v>
      </c>
      <c r="H8" s="8">
        <v>0.22</v>
      </c>
      <c r="I8" s="12">
        <v>0</v>
      </c>
    </row>
    <row r="9" spans="2:9" ht="15" customHeight="1" x14ac:dyDescent="0.15">
      <c r="B9" t="s">
        <v>55</v>
      </c>
      <c r="C9" s="12">
        <v>4</v>
      </c>
      <c r="D9" s="8">
        <v>0.23</v>
      </c>
      <c r="E9" s="12">
        <v>1</v>
      </c>
      <c r="F9" s="8">
        <v>0.08</v>
      </c>
      <c r="G9" s="12">
        <v>3</v>
      </c>
      <c r="H9" s="8">
        <v>0.67</v>
      </c>
      <c r="I9" s="12">
        <v>0</v>
      </c>
    </row>
    <row r="10" spans="2:9" ht="15" customHeight="1" x14ac:dyDescent="0.15">
      <c r="B10" t="s">
        <v>56</v>
      </c>
      <c r="C10" s="12">
        <v>17</v>
      </c>
      <c r="D10" s="8">
        <v>0.96</v>
      </c>
      <c r="E10" s="12">
        <v>1</v>
      </c>
      <c r="F10" s="8">
        <v>0.08</v>
      </c>
      <c r="G10" s="12">
        <v>16</v>
      </c>
      <c r="H10" s="8">
        <v>3.56</v>
      </c>
      <c r="I10" s="12">
        <v>0</v>
      </c>
    </row>
    <row r="11" spans="2:9" ht="15" customHeight="1" x14ac:dyDescent="0.15">
      <c r="B11" t="s">
        <v>57</v>
      </c>
      <c r="C11" s="12">
        <v>554</v>
      </c>
      <c r="D11" s="8">
        <v>31.44</v>
      </c>
      <c r="E11" s="12">
        <v>386</v>
      </c>
      <c r="F11" s="8">
        <v>29.44</v>
      </c>
      <c r="G11" s="12">
        <v>167</v>
      </c>
      <c r="H11" s="8">
        <v>37.19</v>
      </c>
      <c r="I11" s="12">
        <v>1</v>
      </c>
    </row>
    <row r="12" spans="2:9" ht="15" customHeight="1" x14ac:dyDescent="0.15">
      <c r="B12" t="s">
        <v>58</v>
      </c>
      <c r="C12" s="12">
        <v>4</v>
      </c>
      <c r="D12" s="8">
        <v>0.23</v>
      </c>
      <c r="E12" s="12">
        <v>1</v>
      </c>
      <c r="F12" s="8">
        <v>0.08</v>
      </c>
      <c r="G12" s="12">
        <v>3</v>
      </c>
      <c r="H12" s="8">
        <v>0.67</v>
      </c>
      <c r="I12" s="12">
        <v>0</v>
      </c>
    </row>
    <row r="13" spans="2:9" ht="15" customHeight="1" x14ac:dyDescent="0.15">
      <c r="B13" t="s">
        <v>59</v>
      </c>
      <c r="C13" s="12">
        <v>122</v>
      </c>
      <c r="D13" s="8">
        <v>6.92</v>
      </c>
      <c r="E13" s="12">
        <v>88</v>
      </c>
      <c r="F13" s="8">
        <v>6.71</v>
      </c>
      <c r="G13" s="12">
        <v>34</v>
      </c>
      <c r="H13" s="8">
        <v>7.57</v>
      </c>
      <c r="I13" s="12">
        <v>0</v>
      </c>
    </row>
    <row r="14" spans="2:9" ht="15" customHeight="1" x14ac:dyDescent="0.15">
      <c r="B14" t="s">
        <v>60</v>
      </c>
      <c r="C14" s="12">
        <v>44</v>
      </c>
      <c r="D14" s="8">
        <v>2.5</v>
      </c>
      <c r="E14" s="12">
        <v>35</v>
      </c>
      <c r="F14" s="8">
        <v>2.67</v>
      </c>
      <c r="G14" s="12">
        <v>9</v>
      </c>
      <c r="H14" s="8">
        <v>2</v>
      </c>
      <c r="I14" s="12">
        <v>0</v>
      </c>
    </row>
    <row r="15" spans="2:9" ht="15" customHeight="1" x14ac:dyDescent="0.15">
      <c r="B15" t="s">
        <v>61</v>
      </c>
      <c r="C15" s="12">
        <v>200</v>
      </c>
      <c r="D15" s="8">
        <v>11.35</v>
      </c>
      <c r="E15" s="12">
        <v>191</v>
      </c>
      <c r="F15" s="8">
        <v>14.57</v>
      </c>
      <c r="G15" s="12">
        <v>9</v>
      </c>
      <c r="H15" s="8">
        <v>2</v>
      </c>
      <c r="I15" s="12">
        <v>0</v>
      </c>
    </row>
    <row r="16" spans="2:9" ht="15" customHeight="1" x14ac:dyDescent="0.15">
      <c r="B16" t="s">
        <v>62</v>
      </c>
      <c r="C16" s="12">
        <v>183</v>
      </c>
      <c r="D16" s="8">
        <v>10.39</v>
      </c>
      <c r="E16" s="12">
        <v>168</v>
      </c>
      <c r="F16" s="8">
        <v>12.81</v>
      </c>
      <c r="G16" s="12">
        <v>14</v>
      </c>
      <c r="H16" s="8">
        <v>3.12</v>
      </c>
      <c r="I16" s="12">
        <v>1</v>
      </c>
    </row>
    <row r="17" spans="2:9" ht="15" customHeight="1" x14ac:dyDescent="0.15">
      <c r="B17" t="s">
        <v>63</v>
      </c>
      <c r="C17" s="12">
        <v>61</v>
      </c>
      <c r="D17" s="8">
        <v>3.46</v>
      </c>
      <c r="E17" s="12">
        <v>57</v>
      </c>
      <c r="F17" s="8">
        <v>4.3499999999999996</v>
      </c>
      <c r="G17" s="12">
        <v>4</v>
      </c>
      <c r="H17" s="8">
        <v>0.89</v>
      </c>
      <c r="I17" s="12">
        <v>0</v>
      </c>
    </row>
    <row r="18" spans="2:9" ht="15" customHeight="1" x14ac:dyDescent="0.15">
      <c r="B18" t="s">
        <v>64</v>
      </c>
      <c r="C18" s="12">
        <v>58</v>
      </c>
      <c r="D18" s="8">
        <v>3.29</v>
      </c>
      <c r="E18" s="12">
        <v>42</v>
      </c>
      <c r="F18" s="8">
        <v>3.2</v>
      </c>
      <c r="G18" s="12">
        <v>16</v>
      </c>
      <c r="H18" s="8">
        <v>3.56</v>
      </c>
      <c r="I18" s="12">
        <v>0</v>
      </c>
    </row>
    <row r="19" spans="2:9" ht="15" customHeight="1" x14ac:dyDescent="0.15">
      <c r="B19" t="s">
        <v>65</v>
      </c>
      <c r="C19" s="12">
        <v>66</v>
      </c>
      <c r="D19" s="8">
        <v>3.75</v>
      </c>
      <c r="E19" s="12">
        <v>48</v>
      </c>
      <c r="F19" s="8">
        <v>3.66</v>
      </c>
      <c r="G19" s="12">
        <v>18</v>
      </c>
      <c r="H19" s="8">
        <v>4.01</v>
      </c>
      <c r="I19" s="12">
        <v>0</v>
      </c>
    </row>
    <row r="20" spans="2:9" ht="15" customHeight="1" x14ac:dyDescent="0.15">
      <c r="B20" s="9" t="s">
        <v>215</v>
      </c>
      <c r="C20" s="12">
        <f>SUM(LTBL_28224[総数／事業所数])</f>
        <v>1762</v>
      </c>
      <c r="E20" s="12">
        <f>SUBTOTAL(109,LTBL_28224[個人／事業所数])</f>
        <v>1311</v>
      </c>
      <c r="G20" s="12">
        <f>SUBTOTAL(109,LTBL_28224[法人／事業所数])</f>
        <v>449</v>
      </c>
      <c r="I20" s="12">
        <f>SUBTOTAL(109,LTBL_28224[法人以外の団体／事業所数])</f>
        <v>2</v>
      </c>
    </row>
    <row r="21" spans="2:9" ht="15" customHeight="1" x14ac:dyDescent="0.15">
      <c r="E21" s="11">
        <f>LTBL_28224[[#Totals],[個人／事業所数]]/LTBL_28224[[#Totals],[総数／事業所数]]</f>
        <v>0.74404086265607261</v>
      </c>
      <c r="G21" s="11">
        <f>LTBL_28224[[#Totals],[法人／事業所数]]/LTBL_28224[[#Totals],[総数／事業所数]]</f>
        <v>0.25482406356413168</v>
      </c>
      <c r="I21" s="11">
        <f>LTBL_28224[[#Totals],[法人以外の団体／事業所数]]/LTBL_28224[[#Totals],[総数／事業所数]]</f>
        <v>1.1350737797956867E-3</v>
      </c>
    </row>
    <row r="23" spans="2:9" ht="33" customHeight="1" x14ac:dyDescent="0.15">
      <c r="B23" t="s">
        <v>214</v>
      </c>
      <c r="C23" s="10" t="s">
        <v>67</v>
      </c>
      <c r="D23" s="10" t="s">
        <v>340</v>
      </c>
      <c r="E23" s="10" t="s">
        <v>69</v>
      </c>
      <c r="F23" s="10" t="s">
        <v>222</v>
      </c>
      <c r="G23" s="10" t="s">
        <v>71</v>
      </c>
      <c r="H23" s="10" t="s">
        <v>341</v>
      </c>
      <c r="I23" s="10" t="s">
        <v>73</v>
      </c>
    </row>
    <row r="24" spans="2:9" ht="15" customHeight="1" x14ac:dyDescent="0.15">
      <c r="B24" t="s">
        <v>217</v>
      </c>
      <c r="C24">
        <v>17</v>
      </c>
      <c r="D24" t="s">
        <v>216</v>
      </c>
      <c r="E24">
        <v>0</v>
      </c>
      <c r="F24" t="s">
        <v>218</v>
      </c>
      <c r="G24">
        <v>17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1</v>
      </c>
      <c r="D25" t="s">
        <v>216</v>
      </c>
      <c r="E25">
        <v>0</v>
      </c>
      <c r="F25" t="s">
        <v>218</v>
      </c>
      <c r="G25">
        <v>1</v>
      </c>
      <c r="H25" t="s">
        <v>219</v>
      </c>
      <c r="I25">
        <v>0</v>
      </c>
    </row>
    <row r="28" spans="2:9" ht="33" customHeight="1" x14ac:dyDescent="0.15">
      <c r="B28" t="s">
        <v>342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84</v>
      </c>
      <c r="C29" s="12">
        <v>173</v>
      </c>
      <c r="D29" s="8">
        <v>9.82</v>
      </c>
      <c r="E29" s="12">
        <v>115</v>
      </c>
      <c r="F29" s="8">
        <v>8.77</v>
      </c>
      <c r="G29" s="12">
        <v>58</v>
      </c>
      <c r="H29" s="8">
        <v>12.92</v>
      </c>
      <c r="I29" s="12">
        <v>0</v>
      </c>
    </row>
    <row r="30" spans="2:9" ht="15" customHeight="1" x14ac:dyDescent="0.15">
      <c r="B30" t="s">
        <v>89</v>
      </c>
      <c r="C30" s="12">
        <v>171</v>
      </c>
      <c r="D30" s="8">
        <v>9.6999999999999993</v>
      </c>
      <c r="E30" s="12">
        <v>168</v>
      </c>
      <c r="F30" s="8">
        <v>12.81</v>
      </c>
      <c r="G30" s="12">
        <v>3</v>
      </c>
      <c r="H30" s="8">
        <v>0.67</v>
      </c>
      <c r="I30" s="12">
        <v>0</v>
      </c>
    </row>
    <row r="31" spans="2:9" ht="15" customHeight="1" x14ac:dyDescent="0.15">
      <c r="B31" t="s">
        <v>90</v>
      </c>
      <c r="C31" s="12">
        <v>160</v>
      </c>
      <c r="D31" s="8">
        <v>9.08</v>
      </c>
      <c r="E31" s="12">
        <v>154</v>
      </c>
      <c r="F31" s="8">
        <v>11.75</v>
      </c>
      <c r="G31" s="12">
        <v>6</v>
      </c>
      <c r="H31" s="8">
        <v>1.34</v>
      </c>
      <c r="I31" s="12">
        <v>0</v>
      </c>
    </row>
    <row r="32" spans="2:9" ht="15" customHeight="1" x14ac:dyDescent="0.15">
      <c r="B32" t="s">
        <v>82</v>
      </c>
      <c r="C32" s="12">
        <v>132</v>
      </c>
      <c r="D32" s="8">
        <v>7.49</v>
      </c>
      <c r="E32" s="12">
        <v>119</v>
      </c>
      <c r="F32" s="8">
        <v>9.08</v>
      </c>
      <c r="G32" s="12">
        <v>12</v>
      </c>
      <c r="H32" s="8">
        <v>2.67</v>
      </c>
      <c r="I32" s="12">
        <v>1</v>
      </c>
    </row>
    <row r="33" spans="2:9" ht="15" customHeight="1" x14ac:dyDescent="0.15">
      <c r="B33" t="s">
        <v>86</v>
      </c>
      <c r="C33" s="12">
        <v>107</v>
      </c>
      <c r="D33" s="8">
        <v>6.07</v>
      </c>
      <c r="E33" s="12">
        <v>86</v>
      </c>
      <c r="F33" s="8">
        <v>6.56</v>
      </c>
      <c r="G33" s="12">
        <v>21</v>
      </c>
      <c r="H33" s="8">
        <v>4.68</v>
      </c>
      <c r="I33" s="12">
        <v>0</v>
      </c>
    </row>
    <row r="34" spans="2:9" ht="15" customHeight="1" x14ac:dyDescent="0.15">
      <c r="B34" t="s">
        <v>74</v>
      </c>
      <c r="C34" s="12">
        <v>100</v>
      </c>
      <c r="D34" s="8">
        <v>5.68</v>
      </c>
      <c r="E34" s="12">
        <v>40</v>
      </c>
      <c r="F34" s="8">
        <v>3.05</v>
      </c>
      <c r="G34" s="12">
        <v>60</v>
      </c>
      <c r="H34" s="8">
        <v>13.36</v>
      </c>
      <c r="I34" s="12">
        <v>0</v>
      </c>
    </row>
    <row r="35" spans="2:9" ht="15" customHeight="1" x14ac:dyDescent="0.15">
      <c r="B35" t="s">
        <v>118</v>
      </c>
      <c r="C35" s="12">
        <v>93</v>
      </c>
      <c r="D35" s="8">
        <v>5.28</v>
      </c>
      <c r="E35" s="12">
        <v>68</v>
      </c>
      <c r="F35" s="8">
        <v>5.19</v>
      </c>
      <c r="G35" s="12">
        <v>25</v>
      </c>
      <c r="H35" s="8">
        <v>5.57</v>
      </c>
      <c r="I35" s="12">
        <v>0</v>
      </c>
    </row>
    <row r="36" spans="2:9" ht="15" customHeight="1" x14ac:dyDescent="0.15">
      <c r="B36" t="s">
        <v>92</v>
      </c>
      <c r="C36" s="12">
        <v>61</v>
      </c>
      <c r="D36" s="8">
        <v>3.46</v>
      </c>
      <c r="E36" s="12">
        <v>57</v>
      </c>
      <c r="F36" s="8">
        <v>4.3499999999999996</v>
      </c>
      <c r="G36" s="12">
        <v>4</v>
      </c>
      <c r="H36" s="8">
        <v>0.89</v>
      </c>
      <c r="I36" s="12">
        <v>0</v>
      </c>
    </row>
    <row r="37" spans="2:9" ht="15" customHeight="1" x14ac:dyDescent="0.15">
      <c r="B37" t="s">
        <v>81</v>
      </c>
      <c r="C37" s="12">
        <v>59</v>
      </c>
      <c r="D37" s="8">
        <v>3.35</v>
      </c>
      <c r="E37" s="12">
        <v>46</v>
      </c>
      <c r="F37" s="8">
        <v>3.51</v>
      </c>
      <c r="G37" s="12">
        <v>13</v>
      </c>
      <c r="H37" s="8">
        <v>2.9</v>
      </c>
      <c r="I37" s="12">
        <v>0</v>
      </c>
    </row>
    <row r="38" spans="2:9" ht="15" customHeight="1" x14ac:dyDescent="0.15">
      <c r="B38" t="s">
        <v>75</v>
      </c>
      <c r="C38" s="12">
        <v>57</v>
      </c>
      <c r="D38" s="8">
        <v>3.23</v>
      </c>
      <c r="E38" s="12">
        <v>54</v>
      </c>
      <c r="F38" s="8">
        <v>4.12</v>
      </c>
      <c r="G38" s="12">
        <v>3</v>
      </c>
      <c r="H38" s="8">
        <v>0.67</v>
      </c>
      <c r="I38" s="12">
        <v>0</v>
      </c>
    </row>
    <row r="39" spans="2:9" ht="15" customHeight="1" x14ac:dyDescent="0.15">
      <c r="B39" t="s">
        <v>83</v>
      </c>
      <c r="C39" s="12">
        <v>57</v>
      </c>
      <c r="D39" s="8">
        <v>3.23</v>
      </c>
      <c r="E39" s="12">
        <v>44</v>
      </c>
      <c r="F39" s="8">
        <v>3.36</v>
      </c>
      <c r="G39" s="12">
        <v>13</v>
      </c>
      <c r="H39" s="8">
        <v>2.9</v>
      </c>
      <c r="I39" s="12">
        <v>0</v>
      </c>
    </row>
    <row r="40" spans="2:9" ht="15" customHeight="1" x14ac:dyDescent="0.15">
      <c r="B40" t="s">
        <v>106</v>
      </c>
      <c r="C40" s="12">
        <v>47</v>
      </c>
      <c r="D40" s="8">
        <v>2.67</v>
      </c>
      <c r="E40" s="12">
        <v>41</v>
      </c>
      <c r="F40" s="8">
        <v>3.13</v>
      </c>
      <c r="G40" s="12">
        <v>6</v>
      </c>
      <c r="H40" s="8">
        <v>1.34</v>
      </c>
      <c r="I40" s="12">
        <v>0</v>
      </c>
    </row>
    <row r="41" spans="2:9" ht="15" customHeight="1" x14ac:dyDescent="0.15">
      <c r="B41" t="s">
        <v>107</v>
      </c>
      <c r="C41" s="12">
        <v>45</v>
      </c>
      <c r="D41" s="8">
        <v>2.5499999999999998</v>
      </c>
      <c r="E41" s="12">
        <v>29</v>
      </c>
      <c r="F41" s="8">
        <v>2.21</v>
      </c>
      <c r="G41" s="12">
        <v>16</v>
      </c>
      <c r="H41" s="8">
        <v>3.56</v>
      </c>
      <c r="I41" s="12">
        <v>0</v>
      </c>
    </row>
    <row r="42" spans="2:9" ht="15" customHeight="1" x14ac:dyDescent="0.15">
      <c r="B42" t="s">
        <v>78</v>
      </c>
      <c r="C42" s="12">
        <v>45</v>
      </c>
      <c r="D42" s="8">
        <v>2.5499999999999998</v>
      </c>
      <c r="E42" s="12">
        <v>14</v>
      </c>
      <c r="F42" s="8">
        <v>1.07</v>
      </c>
      <c r="G42" s="12">
        <v>31</v>
      </c>
      <c r="H42" s="8">
        <v>6.9</v>
      </c>
      <c r="I42" s="12">
        <v>0</v>
      </c>
    </row>
    <row r="43" spans="2:9" ht="15" customHeight="1" x14ac:dyDescent="0.15">
      <c r="B43" t="s">
        <v>93</v>
      </c>
      <c r="C43" s="12">
        <v>44</v>
      </c>
      <c r="D43" s="8">
        <v>2.5</v>
      </c>
      <c r="E43" s="12">
        <v>42</v>
      </c>
      <c r="F43" s="8">
        <v>3.2</v>
      </c>
      <c r="G43" s="12">
        <v>2</v>
      </c>
      <c r="H43" s="8">
        <v>0.45</v>
      </c>
      <c r="I43" s="12">
        <v>0</v>
      </c>
    </row>
    <row r="44" spans="2:9" ht="15" customHeight="1" x14ac:dyDescent="0.15">
      <c r="B44" t="s">
        <v>96</v>
      </c>
      <c r="C44" s="12">
        <v>41</v>
      </c>
      <c r="D44" s="8">
        <v>2.33</v>
      </c>
      <c r="E44" s="12">
        <v>24</v>
      </c>
      <c r="F44" s="8">
        <v>1.83</v>
      </c>
      <c r="G44" s="12">
        <v>17</v>
      </c>
      <c r="H44" s="8">
        <v>3.79</v>
      </c>
      <c r="I44" s="12">
        <v>0</v>
      </c>
    </row>
    <row r="45" spans="2:9" ht="15" customHeight="1" x14ac:dyDescent="0.15">
      <c r="B45" t="s">
        <v>76</v>
      </c>
      <c r="C45" s="12">
        <v>37</v>
      </c>
      <c r="D45" s="8">
        <v>2.1</v>
      </c>
      <c r="E45" s="12">
        <v>26</v>
      </c>
      <c r="F45" s="8">
        <v>1.98</v>
      </c>
      <c r="G45" s="12">
        <v>11</v>
      </c>
      <c r="H45" s="8">
        <v>2.4500000000000002</v>
      </c>
      <c r="I45" s="12">
        <v>0</v>
      </c>
    </row>
    <row r="46" spans="2:9" ht="15" customHeight="1" x14ac:dyDescent="0.15">
      <c r="B46" t="s">
        <v>88</v>
      </c>
      <c r="C46" s="12">
        <v>34</v>
      </c>
      <c r="D46" s="8">
        <v>1.93</v>
      </c>
      <c r="E46" s="12">
        <v>27</v>
      </c>
      <c r="F46" s="8">
        <v>2.06</v>
      </c>
      <c r="G46" s="12">
        <v>7</v>
      </c>
      <c r="H46" s="8">
        <v>1.56</v>
      </c>
      <c r="I46" s="12">
        <v>0</v>
      </c>
    </row>
    <row r="47" spans="2:9" ht="15" customHeight="1" x14ac:dyDescent="0.15">
      <c r="B47" t="s">
        <v>80</v>
      </c>
      <c r="C47" s="12">
        <v>23</v>
      </c>
      <c r="D47" s="8">
        <v>1.31</v>
      </c>
      <c r="E47" s="12">
        <v>12</v>
      </c>
      <c r="F47" s="8">
        <v>0.92</v>
      </c>
      <c r="G47" s="12">
        <v>11</v>
      </c>
      <c r="H47" s="8">
        <v>2.4500000000000002</v>
      </c>
      <c r="I47" s="12">
        <v>0</v>
      </c>
    </row>
    <row r="48" spans="2:9" ht="15" customHeight="1" x14ac:dyDescent="0.15">
      <c r="B48" t="s">
        <v>108</v>
      </c>
      <c r="C48" s="12">
        <v>23</v>
      </c>
      <c r="D48" s="8">
        <v>1.31</v>
      </c>
      <c r="E48" s="12">
        <v>20</v>
      </c>
      <c r="F48" s="8">
        <v>1.53</v>
      </c>
      <c r="G48" s="12">
        <v>3</v>
      </c>
      <c r="H48" s="8">
        <v>0.67</v>
      </c>
      <c r="I48" s="12">
        <v>0</v>
      </c>
    </row>
    <row r="51" spans="2:9" ht="33" customHeight="1" x14ac:dyDescent="0.15">
      <c r="B51" t="s">
        <v>244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193</v>
      </c>
      <c r="C52" s="12">
        <v>81</v>
      </c>
      <c r="D52" s="8">
        <v>4.5999999999999996</v>
      </c>
      <c r="E52" s="12">
        <v>61</v>
      </c>
      <c r="F52" s="8">
        <v>4.6500000000000004</v>
      </c>
      <c r="G52" s="12">
        <v>20</v>
      </c>
      <c r="H52" s="8">
        <v>4.45</v>
      </c>
      <c r="I52" s="12">
        <v>0</v>
      </c>
    </row>
    <row r="53" spans="2:9" ht="15" customHeight="1" x14ac:dyDescent="0.15">
      <c r="B53" t="s">
        <v>141</v>
      </c>
      <c r="C53" s="12">
        <v>76</v>
      </c>
      <c r="D53" s="8">
        <v>4.3099999999999996</v>
      </c>
      <c r="E53" s="12">
        <v>76</v>
      </c>
      <c r="F53" s="8">
        <v>5.8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134</v>
      </c>
      <c r="C54" s="12">
        <v>69</v>
      </c>
      <c r="D54" s="8">
        <v>3.92</v>
      </c>
      <c r="E54" s="12">
        <v>59</v>
      </c>
      <c r="F54" s="8">
        <v>4.5</v>
      </c>
      <c r="G54" s="12">
        <v>10</v>
      </c>
      <c r="H54" s="8">
        <v>2.23</v>
      </c>
      <c r="I54" s="12">
        <v>0</v>
      </c>
    </row>
    <row r="55" spans="2:9" ht="15" customHeight="1" x14ac:dyDescent="0.15">
      <c r="B55" t="s">
        <v>140</v>
      </c>
      <c r="C55" s="12">
        <v>57</v>
      </c>
      <c r="D55" s="8">
        <v>3.23</v>
      </c>
      <c r="E55" s="12">
        <v>57</v>
      </c>
      <c r="F55" s="8">
        <v>4.3499999999999996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132</v>
      </c>
      <c r="C56" s="12">
        <v>50</v>
      </c>
      <c r="D56" s="8">
        <v>2.84</v>
      </c>
      <c r="E56" s="12">
        <v>43</v>
      </c>
      <c r="F56" s="8">
        <v>3.28</v>
      </c>
      <c r="G56" s="12">
        <v>7</v>
      </c>
      <c r="H56" s="8">
        <v>1.56</v>
      </c>
      <c r="I56" s="12">
        <v>0</v>
      </c>
    </row>
    <row r="57" spans="2:9" ht="15" customHeight="1" x14ac:dyDescent="0.15">
      <c r="B57" t="s">
        <v>138</v>
      </c>
      <c r="C57" s="12">
        <v>49</v>
      </c>
      <c r="D57" s="8">
        <v>2.78</v>
      </c>
      <c r="E57" s="12">
        <v>49</v>
      </c>
      <c r="F57" s="8">
        <v>3.74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166</v>
      </c>
      <c r="C58" s="12">
        <v>47</v>
      </c>
      <c r="D58" s="8">
        <v>2.67</v>
      </c>
      <c r="E58" s="12">
        <v>41</v>
      </c>
      <c r="F58" s="8">
        <v>3.13</v>
      </c>
      <c r="G58" s="12">
        <v>6</v>
      </c>
      <c r="H58" s="8">
        <v>1.34</v>
      </c>
      <c r="I58" s="12">
        <v>0</v>
      </c>
    </row>
    <row r="59" spans="2:9" ht="15" customHeight="1" x14ac:dyDescent="0.15">
      <c r="B59" t="s">
        <v>125</v>
      </c>
      <c r="C59" s="12">
        <v>42</v>
      </c>
      <c r="D59" s="8">
        <v>2.38</v>
      </c>
      <c r="E59" s="12">
        <v>13</v>
      </c>
      <c r="F59" s="8">
        <v>0.99</v>
      </c>
      <c r="G59" s="12">
        <v>29</v>
      </c>
      <c r="H59" s="8">
        <v>6.46</v>
      </c>
      <c r="I59" s="12">
        <v>0</v>
      </c>
    </row>
    <row r="60" spans="2:9" ht="15" customHeight="1" x14ac:dyDescent="0.15">
      <c r="B60" t="s">
        <v>129</v>
      </c>
      <c r="C60" s="12">
        <v>35</v>
      </c>
      <c r="D60" s="8">
        <v>1.99</v>
      </c>
      <c r="E60" s="12">
        <v>33</v>
      </c>
      <c r="F60" s="8">
        <v>2.52</v>
      </c>
      <c r="G60" s="12">
        <v>2</v>
      </c>
      <c r="H60" s="8">
        <v>0.45</v>
      </c>
      <c r="I60" s="12">
        <v>0</v>
      </c>
    </row>
    <row r="61" spans="2:9" ht="15" customHeight="1" x14ac:dyDescent="0.15">
      <c r="B61" t="s">
        <v>194</v>
      </c>
      <c r="C61" s="12">
        <v>33</v>
      </c>
      <c r="D61" s="8">
        <v>1.87</v>
      </c>
      <c r="E61" s="12">
        <v>19</v>
      </c>
      <c r="F61" s="8">
        <v>1.45</v>
      </c>
      <c r="G61" s="12">
        <v>14</v>
      </c>
      <c r="H61" s="8">
        <v>3.12</v>
      </c>
      <c r="I61" s="12">
        <v>0</v>
      </c>
    </row>
    <row r="62" spans="2:9" ht="15" customHeight="1" x14ac:dyDescent="0.15">
      <c r="B62" t="s">
        <v>128</v>
      </c>
      <c r="C62" s="12">
        <v>32</v>
      </c>
      <c r="D62" s="8">
        <v>1.82</v>
      </c>
      <c r="E62" s="12">
        <v>25</v>
      </c>
      <c r="F62" s="8">
        <v>1.91</v>
      </c>
      <c r="G62" s="12">
        <v>7</v>
      </c>
      <c r="H62" s="8">
        <v>1.56</v>
      </c>
      <c r="I62" s="12">
        <v>0</v>
      </c>
    </row>
    <row r="63" spans="2:9" ht="15" customHeight="1" x14ac:dyDescent="0.15">
      <c r="B63" t="s">
        <v>155</v>
      </c>
      <c r="C63" s="12">
        <v>32</v>
      </c>
      <c r="D63" s="8">
        <v>1.82</v>
      </c>
      <c r="E63" s="12">
        <v>28</v>
      </c>
      <c r="F63" s="8">
        <v>2.14</v>
      </c>
      <c r="G63" s="12">
        <v>4</v>
      </c>
      <c r="H63" s="8">
        <v>0.89</v>
      </c>
      <c r="I63" s="12">
        <v>0</v>
      </c>
    </row>
    <row r="64" spans="2:9" ht="15" customHeight="1" x14ac:dyDescent="0.15">
      <c r="B64" t="s">
        <v>192</v>
      </c>
      <c r="C64" s="12">
        <v>30</v>
      </c>
      <c r="D64" s="8">
        <v>1.7</v>
      </c>
      <c r="E64" s="12">
        <v>22</v>
      </c>
      <c r="F64" s="8">
        <v>1.68</v>
      </c>
      <c r="G64" s="12">
        <v>8</v>
      </c>
      <c r="H64" s="8">
        <v>1.78</v>
      </c>
      <c r="I64" s="12">
        <v>0</v>
      </c>
    </row>
    <row r="65" spans="2:9" ht="15" customHeight="1" x14ac:dyDescent="0.15">
      <c r="B65" t="s">
        <v>135</v>
      </c>
      <c r="C65" s="12">
        <v>30</v>
      </c>
      <c r="D65" s="8">
        <v>1.7</v>
      </c>
      <c r="E65" s="12">
        <v>29</v>
      </c>
      <c r="F65" s="8">
        <v>2.21</v>
      </c>
      <c r="G65" s="12">
        <v>1</v>
      </c>
      <c r="H65" s="8">
        <v>0.22</v>
      </c>
      <c r="I65" s="12">
        <v>0</v>
      </c>
    </row>
    <row r="66" spans="2:9" ht="15" customHeight="1" x14ac:dyDescent="0.15">
      <c r="B66" t="s">
        <v>143</v>
      </c>
      <c r="C66" s="12">
        <v>30</v>
      </c>
      <c r="D66" s="8">
        <v>1.7</v>
      </c>
      <c r="E66" s="12">
        <v>29</v>
      </c>
      <c r="F66" s="8">
        <v>2.21</v>
      </c>
      <c r="G66" s="12">
        <v>1</v>
      </c>
      <c r="H66" s="8">
        <v>0.22</v>
      </c>
      <c r="I66" s="12">
        <v>0</v>
      </c>
    </row>
    <row r="67" spans="2:9" ht="15" customHeight="1" x14ac:dyDescent="0.15">
      <c r="B67" t="s">
        <v>195</v>
      </c>
      <c r="C67" s="12">
        <v>29</v>
      </c>
      <c r="D67" s="8">
        <v>1.65</v>
      </c>
      <c r="E67" s="12">
        <v>9</v>
      </c>
      <c r="F67" s="8">
        <v>0.69</v>
      </c>
      <c r="G67" s="12">
        <v>20</v>
      </c>
      <c r="H67" s="8">
        <v>4.45</v>
      </c>
      <c r="I67" s="12">
        <v>0</v>
      </c>
    </row>
    <row r="68" spans="2:9" ht="15" customHeight="1" x14ac:dyDescent="0.15">
      <c r="B68" t="s">
        <v>142</v>
      </c>
      <c r="C68" s="12">
        <v>29</v>
      </c>
      <c r="D68" s="8">
        <v>1.65</v>
      </c>
      <c r="E68" s="12">
        <v>28</v>
      </c>
      <c r="F68" s="8">
        <v>2.14</v>
      </c>
      <c r="G68" s="12">
        <v>1</v>
      </c>
      <c r="H68" s="8">
        <v>0.22</v>
      </c>
      <c r="I68" s="12">
        <v>0</v>
      </c>
    </row>
    <row r="69" spans="2:9" ht="15" customHeight="1" x14ac:dyDescent="0.15">
      <c r="B69" t="s">
        <v>126</v>
      </c>
      <c r="C69" s="12">
        <v>27</v>
      </c>
      <c r="D69" s="8">
        <v>1.53</v>
      </c>
      <c r="E69" s="12">
        <v>15</v>
      </c>
      <c r="F69" s="8">
        <v>1.1399999999999999</v>
      </c>
      <c r="G69" s="12">
        <v>12</v>
      </c>
      <c r="H69" s="8">
        <v>2.67</v>
      </c>
      <c r="I69" s="12">
        <v>0</v>
      </c>
    </row>
    <row r="70" spans="2:9" ht="15" customHeight="1" x14ac:dyDescent="0.15">
      <c r="B70" t="s">
        <v>127</v>
      </c>
      <c r="C70" s="12">
        <v>27</v>
      </c>
      <c r="D70" s="8">
        <v>1.53</v>
      </c>
      <c r="E70" s="12">
        <v>21</v>
      </c>
      <c r="F70" s="8">
        <v>1.6</v>
      </c>
      <c r="G70" s="12">
        <v>6</v>
      </c>
      <c r="H70" s="8">
        <v>1.34</v>
      </c>
      <c r="I70" s="12">
        <v>0</v>
      </c>
    </row>
    <row r="71" spans="2:9" ht="15" customHeight="1" x14ac:dyDescent="0.15">
      <c r="B71" t="s">
        <v>159</v>
      </c>
      <c r="C71" s="12">
        <v>27</v>
      </c>
      <c r="D71" s="8">
        <v>1.53</v>
      </c>
      <c r="E71" s="12">
        <v>21</v>
      </c>
      <c r="F71" s="8">
        <v>1.6</v>
      </c>
      <c r="G71" s="12">
        <v>6</v>
      </c>
      <c r="H71" s="8">
        <v>1.34</v>
      </c>
      <c r="I71" s="12">
        <v>0</v>
      </c>
    </row>
    <row r="73" spans="2:9" ht="15" customHeight="1" x14ac:dyDescent="0.15">
      <c r="B73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343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1</v>
      </c>
      <c r="D5" s="8">
        <v>0.1</v>
      </c>
      <c r="E5" s="12">
        <v>0</v>
      </c>
      <c r="F5" s="8">
        <v>0</v>
      </c>
      <c r="G5" s="12">
        <v>1</v>
      </c>
      <c r="H5" s="8">
        <v>0.3</v>
      </c>
      <c r="I5" s="12">
        <v>0</v>
      </c>
    </row>
    <row r="6" spans="2:9" ht="15" customHeight="1" x14ac:dyDescent="0.15">
      <c r="B6" t="s">
        <v>52</v>
      </c>
      <c r="C6" s="12">
        <v>155</v>
      </c>
      <c r="D6" s="8">
        <v>15.45</v>
      </c>
      <c r="E6" s="12">
        <v>80</v>
      </c>
      <c r="F6" s="8">
        <v>11.99</v>
      </c>
      <c r="G6" s="12">
        <v>75</v>
      </c>
      <c r="H6" s="8">
        <v>22.66</v>
      </c>
      <c r="I6" s="12">
        <v>0</v>
      </c>
    </row>
    <row r="7" spans="2:9" ht="15" customHeight="1" x14ac:dyDescent="0.15">
      <c r="B7" t="s">
        <v>53</v>
      </c>
      <c r="C7" s="12">
        <v>95</v>
      </c>
      <c r="D7" s="8">
        <v>9.4700000000000006</v>
      </c>
      <c r="E7" s="12">
        <v>41</v>
      </c>
      <c r="F7" s="8">
        <v>6.15</v>
      </c>
      <c r="G7" s="12">
        <v>52</v>
      </c>
      <c r="H7" s="8">
        <v>15.71</v>
      </c>
      <c r="I7" s="12">
        <v>2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7</v>
      </c>
      <c r="D9" s="8">
        <v>0.7</v>
      </c>
      <c r="E9" s="12">
        <v>1</v>
      </c>
      <c r="F9" s="8">
        <v>0.15</v>
      </c>
      <c r="G9" s="12">
        <v>6</v>
      </c>
      <c r="H9" s="8">
        <v>1.81</v>
      </c>
      <c r="I9" s="12">
        <v>0</v>
      </c>
    </row>
    <row r="10" spans="2:9" ht="15" customHeight="1" x14ac:dyDescent="0.15">
      <c r="B10" t="s">
        <v>56</v>
      </c>
      <c r="C10" s="12">
        <v>10</v>
      </c>
      <c r="D10" s="8">
        <v>1</v>
      </c>
      <c r="E10" s="12">
        <v>2</v>
      </c>
      <c r="F10" s="8">
        <v>0.3</v>
      </c>
      <c r="G10" s="12">
        <v>8</v>
      </c>
      <c r="H10" s="8">
        <v>2.42</v>
      </c>
      <c r="I10" s="12">
        <v>0</v>
      </c>
    </row>
    <row r="11" spans="2:9" ht="15" customHeight="1" x14ac:dyDescent="0.15">
      <c r="B11" t="s">
        <v>57</v>
      </c>
      <c r="C11" s="12">
        <v>283</v>
      </c>
      <c r="D11" s="8">
        <v>28.22</v>
      </c>
      <c r="E11" s="12">
        <v>185</v>
      </c>
      <c r="F11" s="8">
        <v>27.74</v>
      </c>
      <c r="G11" s="12">
        <v>98</v>
      </c>
      <c r="H11" s="8">
        <v>29.61</v>
      </c>
      <c r="I11" s="12">
        <v>0</v>
      </c>
    </row>
    <row r="12" spans="2:9" ht="15" customHeight="1" x14ac:dyDescent="0.15">
      <c r="B12" t="s">
        <v>58</v>
      </c>
      <c r="C12" s="12">
        <v>5</v>
      </c>
      <c r="D12" s="8">
        <v>0.5</v>
      </c>
      <c r="E12" s="12">
        <v>3</v>
      </c>
      <c r="F12" s="8">
        <v>0.45</v>
      </c>
      <c r="G12" s="12">
        <v>2</v>
      </c>
      <c r="H12" s="8">
        <v>0.6</v>
      </c>
      <c r="I12" s="12">
        <v>0</v>
      </c>
    </row>
    <row r="13" spans="2:9" ht="15" customHeight="1" x14ac:dyDescent="0.15">
      <c r="B13" t="s">
        <v>59</v>
      </c>
      <c r="C13" s="12">
        <v>71</v>
      </c>
      <c r="D13" s="8">
        <v>7.08</v>
      </c>
      <c r="E13" s="12">
        <v>51</v>
      </c>
      <c r="F13" s="8">
        <v>7.65</v>
      </c>
      <c r="G13" s="12">
        <v>19</v>
      </c>
      <c r="H13" s="8">
        <v>5.74</v>
      </c>
      <c r="I13" s="12">
        <v>1</v>
      </c>
    </row>
    <row r="14" spans="2:9" ht="15" customHeight="1" x14ac:dyDescent="0.15">
      <c r="B14" t="s">
        <v>60</v>
      </c>
      <c r="C14" s="12">
        <v>40</v>
      </c>
      <c r="D14" s="8">
        <v>3.99</v>
      </c>
      <c r="E14" s="12">
        <v>21</v>
      </c>
      <c r="F14" s="8">
        <v>3.15</v>
      </c>
      <c r="G14" s="12">
        <v>19</v>
      </c>
      <c r="H14" s="8">
        <v>5.74</v>
      </c>
      <c r="I14" s="12">
        <v>0</v>
      </c>
    </row>
    <row r="15" spans="2:9" ht="15" customHeight="1" x14ac:dyDescent="0.15">
      <c r="B15" t="s">
        <v>61</v>
      </c>
      <c r="C15" s="12">
        <v>109</v>
      </c>
      <c r="D15" s="8">
        <v>10.87</v>
      </c>
      <c r="E15" s="12">
        <v>97</v>
      </c>
      <c r="F15" s="8">
        <v>14.54</v>
      </c>
      <c r="G15" s="12">
        <v>11</v>
      </c>
      <c r="H15" s="8">
        <v>3.32</v>
      </c>
      <c r="I15" s="12">
        <v>1</v>
      </c>
    </row>
    <row r="16" spans="2:9" ht="15" customHeight="1" x14ac:dyDescent="0.15">
      <c r="B16" t="s">
        <v>62</v>
      </c>
      <c r="C16" s="12">
        <v>126</v>
      </c>
      <c r="D16" s="8">
        <v>12.56</v>
      </c>
      <c r="E16" s="12">
        <v>116</v>
      </c>
      <c r="F16" s="8">
        <v>17.39</v>
      </c>
      <c r="G16" s="12">
        <v>10</v>
      </c>
      <c r="H16" s="8">
        <v>3.02</v>
      </c>
      <c r="I16" s="12">
        <v>0</v>
      </c>
    </row>
    <row r="17" spans="2:9" ht="15" customHeight="1" x14ac:dyDescent="0.15">
      <c r="B17" t="s">
        <v>63</v>
      </c>
      <c r="C17" s="12">
        <v>43</v>
      </c>
      <c r="D17" s="8">
        <v>4.29</v>
      </c>
      <c r="E17" s="12">
        <v>37</v>
      </c>
      <c r="F17" s="8">
        <v>5.55</v>
      </c>
      <c r="G17" s="12">
        <v>5</v>
      </c>
      <c r="H17" s="8">
        <v>1.51</v>
      </c>
      <c r="I17" s="12">
        <v>1</v>
      </c>
    </row>
    <row r="18" spans="2:9" ht="15" customHeight="1" x14ac:dyDescent="0.15">
      <c r="B18" t="s">
        <v>64</v>
      </c>
      <c r="C18" s="12">
        <v>31</v>
      </c>
      <c r="D18" s="8">
        <v>3.09</v>
      </c>
      <c r="E18" s="12">
        <v>20</v>
      </c>
      <c r="F18" s="8">
        <v>3</v>
      </c>
      <c r="G18" s="12">
        <v>11</v>
      </c>
      <c r="H18" s="8">
        <v>3.32</v>
      </c>
      <c r="I18" s="12">
        <v>0</v>
      </c>
    </row>
    <row r="19" spans="2:9" ht="15" customHeight="1" x14ac:dyDescent="0.15">
      <c r="B19" t="s">
        <v>65</v>
      </c>
      <c r="C19" s="12">
        <v>27</v>
      </c>
      <c r="D19" s="8">
        <v>2.69</v>
      </c>
      <c r="E19" s="12">
        <v>13</v>
      </c>
      <c r="F19" s="8">
        <v>1.95</v>
      </c>
      <c r="G19" s="12">
        <v>14</v>
      </c>
      <c r="H19" s="8">
        <v>4.2300000000000004</v>
      </c>
      <c r="I19" s="12">
        <v>0</v>
      </c>
    </row>
    <row r="20" spans="2:9" ht="15" customHeight="1" x14ac:dyDescent="0.15">
      <c r="B20" s="9" t="s">
        <v>215</v>
      </c>
      <c r="C20" s="12">
        <f>SUM(LTBL_28225[総数／事業所数])</f>
        <v>1003</v>
      </c>
      <c r="E20" s="12">
        <f>SUBTOTAL(109,LTBL_28225[個人／事業所数])</f>
        <v>667</v>
      </c>
      <c r="G20" s="12">
        <f>SUBTOTAL(109,LTBL_28225[法人／事業所数])</f>
        <v>331</v>
      </c>
      <c r="I20" s="12">
        <f>SUBTOTAL(109,LTBL_28225[法人以外の団体／事業所数])</f>
        <v>5</v>
      </c>
    </row>
    <row r="21" spans="2:9" ht="15" customHeight="1" x14ac:dyDescent="0.15">
      <c r="E21" s="11">
        <f>LTBL_28225[[#Totals],[個人／事業所数]]/LTBL_28225[[#Totals],[総数／事業所数]]</f>
        <v>0.66500498504486538</v>
      </c>
      <c r="G21" s="11">
        <f>LTBL_28225[[#Totals],[法人／事業所数]]/LTBL_28225[[#Totals],[総数／事業所数]]</f>
        <v>0.33000997008973082</v>
      </c>
      <c r="I21" s="11">
        <f>LTBL_28225[[#Totals],[法人以外の団体／事業所数]]/LTBL_28225[[#Totals],[総数／事業所数]]</f>
        <v>4.9850448654037887E-3</v>
      </c>
    </row>
    <row r="23" spans="2:9" ht="33" customHeight="1" x14ac:dyDescent="0.15">
      <c r="B23" t="s">
        <v>214</v>
      </c>
      <c r="C23" s="10" t="s">
        <v>67</v>
      </c>
      <c r="D23" s="10" t="s">
        <v>344</v>
      </c>
      <c r="E23" s="10" t="s">
        <v>69</v>
      </c>
      <c r="F23" s="10" t="s">
        <v>345</v>
      </c>
      <c r="G23" s="10" t="s">
        <v>71</v>
      </c>
      <c r="H23" s="10" t="s">
        <v>223</v>
      </c>
      <c r="I23" s="10" t="s">
        <v>73</v>
      </c>
    </row>
    <row r="24" spans="2:9" ht="15" customHeight="1" x14ac:dyDescent="0.15">
      <c r="B24" t="s">
        <v>217</v>
      </c>
      <c r="C24">
        <v>9</v>
      </c>
      <c r="D24" t="s">
        <v>216</v>
      </c>
      <c r="E24">
        <v>0</v>
      </c>
      <c r="F24" t="s">
        <v>218</v>
      </c>
      <c r="G24">
        <v>9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2</v>
      </c>
      <c r="D25" t="s">
        <v>216</v>
      </c>
      <c r="E25">
        <v>0</v>
      </c>
      <c r="F25" t="s">
        <v>218</v>
      </c>
      <c r="G25">
        <v>2</v>
      </c>
      <c r="H25" t="s">
        <v>219</v>
      </c>
      <c r="I25">
        <v>0</v>
      </c>
    </row>
    <row r="28" spans="2:9" ht="33" customHeight="1" x14ac:dyDescent="0.15">
      <c r="B28" t="s">
        <v>229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90</v>
      </c>
      <c r="C29" s="12">
        <v>109</v>
      </c>
      <c r="D29" s="8">
        <v>10.87</v>
      </c>
      <c r="E29" s="12">
        <v>105</v>
      </c>
      <c r="F29" s="8">
        <v>15.74</v>
      </c>
      <c r="G29" s="12">
        <v>4</v>
      </c>
      <c r="H29" s="8">
        <v>1.21</v>
      </c>
      <c r="I29" s="12">
        <v>0</v>
      </c>
    </row>
    <row r="30" spans="2:9" ht="15" customHeight="1" x14ac:dyDescent="0.15">
      <c r="B30" t="s">
        <v>84</v>
      </c>
      <c r="C30" s="12">
        <v>94</v>
      </c>
      <c r="D30" s="8">
        <v>9.3699999999999992</v>
      </c>
      <c r="E30" s="12">
        <v>56</v>
      </c>
      <c r="F30" s="8">
        <v>8.4</v>
      </c>
      <c r="G30" s="12">
        <v>38</v>
      </c>
      <c r="H30" s="8">
        <v>11.48</v>
      </c>
      <c r="I30" s="12">
        <v>0</v>
      </c>
    </row>
    <row r="31" spans="2:9" ht="15" customHeight="1" x14ac:dyDescent="0.15">
      <c r="B31" t="s">
        <v>89</v>
      </c>
      <c r="C31" s="12">
        <v>88</v>
      </c>
      <c r="D31" s="8">
        <v>8.77</v>
      </c>
      <c r="E31" s="12">
        <v>83</v>
      </c>
      <c r="F31" s="8">
        <v>12.44</v>
      </c>
      <c r="G31" s="12">
        <v>4</v>
      </c>
      <c r="H31" s="8">
        <v>1.21</v>
      </c>
      <c r="I31" s="12">
        <v>1</v>
      </c>
    </row>
    <row r="32" spans="2:9" ht="15" customHeight="1" x14ac:dyDescent="0.15">
      <c r="B32" t="s">
        <v>74</v>
      </c>
      <c r="C32" s="12">
        <v>85</v>
      </c>
      <c r="D32" s="8">
        <v>8.4700000000000006</v>
      </c>
      <c r="E32" s="12">
        <v>33</v>
      </c>
      <c r="F32" s="8">
        <v>4.95</v>
      </c>
      <c r="G32" s="12">
        <v>52</v>
      </c>
      <c r="H32" s="8">
        <v>15.71</v>
      </c>
      <c r="I32" s="12">
        <v>0</v>
      </c>
    </row>
    <row r="33" spans="2:9" ht="15" customHeight="1" x14ac:dyDescent="0.15">
      <c r="B33" t="s">
        <v>86</v>
      </c>
      <c r="C33" s="12">
        <v>58</v>
      </c>
      <c r="D33" s="8">
        <v>5.78</v>
      </c>
      <c r="E33" s="12">
        <v>49</v>
      </c>
      <c r="F33" s="8">
        <v>7.35</v>
      </c>
      <c r="G33" s="12">
        <v>8</v>
      </c>
      <c r="H33" s="8">
        <v>2.42</v>
      </c>
      <c r="I33" s="12">
        <v>1</v>
      </c>
    </row>
    <row r="34" spans="2:9" ht="15" customHeight="1" x14ac:dyDescent="0.15">
      <c r="B34" t="s">
        <v>82</v>
      </c>
      <c r="C34" s="12">
        <v>57</v>
      </c>
      <c r="D34" s="8">
        <v>5.68</v>
      </c>
      <c r="E34" s="12">
        <v>50</v>
      </c>
      <c r="F34" s="8">
        <v>7.5</v>
      </c>
      <c r="G34" s="12">
        <v>7</v>
      </c>
      <c r="H34" s="8">
        <v>2.11</v>
      </c>
      <c r="I34" s="12">
        <v>0</v>
      </c>
    </row>
    <row r="35" spans="2:9" ht="15" customHeight="1" x14ac:dyDescent="0.15">
      <c r="B35" t="s">
        <v>75</v>
      </c>
      <c r="C35" s="12">
        <v>45</v>
      </c>
      <c r="D35" s="8">
        <v>4.49</v>
      </c>
      <c r="E35" s="12">
        <v>34</v>
      </c>
      <c r="F35" s="8">
        <v>5.0999999999999996</v>
      </c>
      <c r="G35" s="12">
        <v>11</v>
      </c>
      <c r="H35" s="8">
        <v>3.32</v>
      </c>
      <c r="I35" s="12">
        <v>0</v>
      </c>
    </row>
    <row r="36" spans="2:9" ht="15" customHeight="1" x14ac:dyDescent="0.15">
      <c r="B36" t="s">
        <v>92</v>
      </c>
      <c r="C36" s="12">
        <v>43</v>
      </c>
      <c r="D36" s="8">
        <v>4.29</v>
      </c>
      <c r="E36" s="12">
        <v>37</v>
      </c>
      <c r="F36" s="8">
        <v>5.55</v>
      </c>
      <c r="G36" s="12">
        <v>5</v>
      </c>
      <c r="H36" s="8">
        <v>1.51</v>
      </c>
      <c r="I36" s="12">
        <v>1</v>
      </c>
    </row>
    <row r="37" spans="2:9" ht="15" customHeight="1" x14ac:dyDescent="0.15">
      <c r="B37" t="s">
        <v>83</v>
      </c>
      <c r="C37" s="12">
        <v>40</v>
      </c>
      <c r="D37" s="8">
        <v>3.99</v>
      </c>
      <c r="E37" s="12">
        <v>26</v>
      </c>
      <c r="F37" s="8">
        <v>3.9</v>
      </c>
      <c r="G37" s="12">
        <v>14</v>
      </c>
      <c r="H37" s="8">
        <v>4.2300000000000004</v>
      </c>
      <c r="I37" s="12">
        <v>0</v>
      </c>
    </row>
    <row r="38" spans="2:9" ht="15" customHeight="1" x14ac:dyDescent="0.15">
      <c r="B38" t="s">
        <v>81</v>
      </c>
      <c r="C38" s="12">
        <v>39</v>
      </c>
      <c r="D38" s="8">
        <v>3.89</v>
      </c>
      <c r="E38" s="12">
        <v>29</v>
      </c>
      <c r="F38" s="8">
        <v>4.3499999999999996</v>
      </c>
      <c r="G38" s="12">
        <v>10</v>
      </c>
      <c r="H38" s="8">
        <v>3.02</v>
      </c>
      <c r="I38" s="12">
        <v>0</v>
      </c>
    </row>
    <row r="39" spans="2:9" ht="15" customHeight="1" x14ac:dyDescent="0.15">
      <c r="B39" t="s">
        <v>88</v>
      </c>
      <c r="C39" s="12">
        <v>26</v>
      </c>
      <c r="D39" s="8">
        <v>2.59</v>
      </c>
      <c r="E39" s="12">
        <v>13</v>
      </c>
      <c r="F39" s="8">
        <v>1.95</v>
      </c>
      <c r="G39" s="12">
        <v>13</v>
      </c>
      <c r="H39" s="8">
        <v>3.93</v>
      </c>
      <c r="I39" s="12">
        <v>0</v>
      </c>
    </row>
    <row r="40" spans="2:9" ht="15" customHeight="1" x14ac:dyDescent="0.15">
      <c r="B40" t="s">
        <v>76</v>
      </c>
      <c r="C40" s="12">
        <v>25</v>
      </c>
      <c r="D40" s="8">
        <v>2.4900000000000002</v>
      </c>
      <c r="E40" s="12">
        <v>13</v>
      </c>
      <c r="F40" s="8">
        <v>1.95</v>
      </c>
      <c r="G40" s="12">
        <v>12</v>
      </c>
      <c r="H40" s="8">
        <v>3.63</v>
      </c>
      <c r="I40" s="12">
        <v>0</v>
      </c>
    </row>
    <row r="41" spans="2:9" ht="15" customHeight="1" x14ac:dyDescent="0.15">
      <c r="B41" t="s">
        <v>93</v>
      </c>
      <c r="C41" s="12">
        <v>21</v>
      </c>
      <c r="D41" s="8">
        <v>2.09</v>
      </c>
      <c r="E41" s="12">
        <v>20</v>
      </c>
      <c r="F41" s="8">
        <v>3</v>
      </c>
      <c r="G41" s="12">
        <v>1</v>
      </c>
      <c r="H41" s="8">
        <v>0.3</v>
      </c>
      <c r="I41" s="12">
        <v>0</v>
      </c>
    </row>
    <row r="42" spans="2:9" ht="15" customHeight="1" x14ac:dyDescent="0.15">
      <c r="B42" t="s">
        <v>77</v>
      </c>
      <c r="C42" s="12">
        <v>20</v>
      </c>
      <c r="D42" s="8">
        <v>1.99</v>
      </c>
      <c r="E42" s="12">
        <v>6</v>
      </c>
      <c r="F42" s="8">
        <v>0.9</v>
      </c>
      <c r="G42" s="12">
        <v>14</v>
      </c>
      <c r="H42" s="8">
        <v>4.2300000000000004</v>
      </c>
      <c r="I42" s="12">
        <v>0</v>
      </c>
    </row>
    <row r="43" spans="2:9" ht="15" customHeight="1" x14ac:dyDescent="0.15">
      <c r="B43" t="s">
        <v>110</v>
      </c>
      <c r="C43" s="12">
        <v>13</v>
      </c>
      <c r="D43" s="8">
        <v>1.3</v>
      </c>
      <c r="E43" s="12">
        <v>5</v>
      </c>
      <c r="F43" s="8">
        <v>0.75</v>
      </c>
      <c r="G43" s="12">
        <v>8</v>
      </c>
      <c r="H43" s="8">
        <v>2.42</v>
      </c>
      <c r="I43" s="12">
        <v>0</v>
      </c>
    </row>
    <row r="44" spans="2:9" ht="15" customHeight="1" x14ac:dyDescent="0.15">
      <c r="B44" t="s">
        <v>87</v>
      </c>
      <c r="C44" s="12">
        <v>13</v>
      </c>
      <c r="D44" s="8">
        <v>1.3</v>
      </c>
      <c r="E44" s="12">
        <v>8</v>
      </c>
      <c r="F44" s="8">
        <v>1.2</v>
      </c>
      <c r="G44" s="12">
        <v>5</v>
      </c>
      <c r="H44" s="8">
        <v>1.51</v>
      </c>
      <c r="I44" s="12">
        <v>0</v>
      </c>
    </row>
    <row r="45" spans="2:9" ht="15" customHeight="1" x14ac:dyDescent="0.15">
      <c r="B45" t="s">
        <v>78</v>
      </c>
      <c r="C45" s="12">
        <v>12</v>
      </c>
      <c r="D45" s="8">
        <v>1.2</v>
      </c>
      <c r="E45" s="12">
        <v>3</v>
      </c>
      <c r="F45" s="8">
        <v>0.45</v>
      </c>
      <c r="G45" s="12">
        <v>9</v>
      </c>
      <c r="H45" s="8">
        <v>2.72</v>
      </c>
      <c r="I45" s="12">
        <v>0</v>
      </c>
    </row>
    <row r="46" spans="2:9" ht="15" customHeight="1" x14ac:dyDescent="0.15">
      <c r="B46" t="s">
        <v>80</v>
      </c>
      <c r="C46" s="12">
        <v>12</v>
      </c>
      <c r="D46" s="8">
        <v>1.2</v>
      </c>
      <c r="E46" s="12">
        <v>7</v>
      </c>
      <c r="F46" s="8">
        <v>1.05</v>
      </c>
      <c r="G46" s="12">
        <v>5</v>
      </c>
      <c r="H46" s="8">
        <v>1.51</v>
      </c>
      <c r="I46" s="12">
        <v>0</v>
      </c>
    </row>
    <row r="47" spans="2:9" ht="15" customHeight="1" x14ac:dyDescent="0.15">
      <c r="B47" t="s">
        <v>91</v>
      </c>
      <c r="C47" s="12">
        <v>12</v>
      </c>
      <c r="D47" s="8">
        <v>1.2</v>
      </c>
      <c r="E47" s="12">
        <v>9</v>
      </c>
      <c r="F47" s="8">
        <v>1.35</v>
      </c>
      <c r="G47" s="12">
        <v>3</v>
      </c>
      <c r="H47" s="8">
        <v>0.91</v>
      </c>
      <c r="I47" s="12">
        <v>0</v>
      </c>
    </row>
    <row r="48" spans="2:9" ht="15" customHeight="1" x14ac:dyDescent="0.15">
      <c r="B48" t="s">
        <v>107</v>
      </c>
      <c r="C48" s="12">
        <v>11</v>
      </c>
      <c r="D48" s="8">
        <v>1.1000000000000001</v>
      </c>
      <c r="E48" s="12">
        <v>5</v>
      </c>
      <c r="F48" s="8">
        <v>0.75</v>
      </c>
      <c r="G48" s="12">
        <v>5</v>
      </c>
      <c r="H48" s="8">
        <v>1.51</v>
      </c>
      <c r="I48" s="12">
        <v>1</v>
      </c>
    </row>
    <row r="49" spans="2:9" ht="15" customHeight="1" x14ac:dyDescent="0.15">
      <c r="B49" t="s">
        <v>108</v>
      </c>
      <c r="C49" s="12">
        <v>11</v>
      </c>
      <c r="D49" s="8">
        <v>1.1000000000000001</v>
      </c>
      <c r="E49" s="12">
        <v>7</v>
      </c>
      <c r="F49" s="8">
        <v>1.05</v>
      </c>
      <c r="G49" s="12">
        <v>4</v>
      </c>
      <c r="H49" s="8">
        <v>1.21</v>
      </c>
      <c r="I49" s="12">
        <v>0</v>
      </c>
    </row>
    <row r="52" spans="2:9" ht="33" customHeight="1" x14ac:dyDescent="0.15">
      <c r="B52" t="s">
        <v>248</v>
      </c>
      <c r="C52" s="10" t="s">
        <v>67</v>
      </c>
      <c r="D52" s="10" t="s">
        <v>68</v>
      </c>
      <c r="E52" s="10" t="s">
        <v>69</v>
      </c>
      <c r="F52" s="10" t="s">
        <v>70</v>
      </c>
      <c r="G52" s="10" t="s">
        <v>71</v>
      </c>
      <c r="H52" s="10" t="s">
        <v>72</v>
      </c>
      <c r="I52" s="10" t="s">
        <v>73</v>
      </c>
    </row>
    <row r="53" spans="2:9" ht="15" customHeight="1" x14ac:dyDescent="0.15">
      <c r="B53" t="s">
        <v>141</v>
      </c>
      <c r="C53" s="12">
        <v>63</v>
      </c>
      <c r="D53" s="8">
        <v>6.28</v>
      </c>
      <c r="E53" s="12">
        <v>63</v>
      </c>
      <c r="F53" s="8">
        <v>9.4499999999999993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125</v>
      </c>
      <c r="C54" s="12">
        <v>44</v>
      </c>
      <c r="D54" s="8">
        <v>4.3899999999999997</v>
      </c>
      <c r="E54" s="12">
        <v>12</v>
      </c>
      <c r="F54" s="8">
        <v>1.8</v>
      </c>
      <c r="G54" s="12">
        <v>32</v>
      </c>
      <c r="H54" s="8">
        <v>9.67</v>
      </c>
      <c r="I54" s="12">
        <v>0</v>
      </c>
    </row>
    <row r="55" spans="2:9" ht="15" customHeight="1" x14ac:dyDescent="0.15">
      <c r="B55" t="s">
        <v>134</v>
      </c>
      <c r="C55" s="12">
        <v>38</v>
      </c>
      <c r="D55" s="8">
        <v>3.79</v>
      </c>
      <c r="E55" s="12">
        <v>34</v>
      </c>
      <c r="F55" s="8">
        <v>5.0999999999999996</v>
      </c>
      <c r="G55" s="12">
        <v>4</v>
      </c>
      <c r="H55" s="8">
        <v>1.21</v>
      </c>
      <c r="I55" s="12">
        <v>0</v>
      </c>
    </row>
    <row r="56" spans="2:9" ht="15" customHeight="1" x14ac:dyDescent="0.15">
      <c r="B56" t="s">
        <v>130</v>
      </c>
      <c r="C56" s="12">
        <v>31</v>
      </c>
      <c r="D56" s="8">
        <v>3.09</v>
      </c>
      <c r="E56" s="12">
        <v>18</v>
      </c>
      <c r="F56" s="8">
        <v>2.7</v>
      </c>
      <c r="G56" s="12">
        <v>13</v>
      </c>
      <c r="H56" s="8">
        <v>3.93</v>
      </c>
      <c r="I56" s="12">
        <v>0</v>
      </c>
    </row>
    <row r="57" spans="2:9" ht="15" customHeight="1" x14ac:dyDescent="0.15">
      <c r="B57" t="s">
        <v>140</v>
      </c>
      <c r="C57" s="12">
        <v>29</v>
      </c>
      <c r="D57" s="8">
        <v>2.89</v>
      </c>
      <c r="E57" s="12">
        <v>29</v>
      </c>
      <c r="F57" s="8">
        <v>4.3499999999999996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143</v>
      </c>
      <c r="C58" s="12">
        <v>26</v>
      </c>
      <c r="D58" s="8">
        <v>2.59</v>
      </c>
      <c r="E58" s="12">
        <v>24</v>
      </c>
      <c r="F58" s="8">
        <v>3.6</v>
      </c>
      <c r="G58" s="12">
        <v>2</v>
      </c>
      <c r="H58" s="8">
        <v>0.6</v>
      </c>
      <c r="I58" s="12">
        <v>0</v>
      </c>
    </row>
    <row r="59" spans="2:9" ht="15" customHeight="1" x14ac:dyDescent="0.15">
      <c r="B59" t="s">
        <v>132</v>
      </c>
      <c r="C59" s="12">
        <v>25</v>
      </c>
      <c r="D59" s="8">
        <v>2.4900000000000002</v>
      </c>
      <c r="E59" s="12">
        <v>18</v>
      </c>
      <c r="F59" s="8">
        <v>2.7</v>
      </c>
      <c r="G59" s="12">
        <v>7</v>
      </c>
      <c r="H59" s="8">
        <v>2.11</v>
      </c>
      <c r="I59" s="12">
        <v>0</v>
      </c>
    </row>
    <row r="60" spans="2:9" ht="15" customHeight="1" x14ac:dyDescent="0.15">
      <c r="B60" t="s">
        <v>138</v>
      </c>
      <c r="C60" s="12">
        <v>24</v>
      </c>
      <c r="D60" s="8">
        <v>2.39</v>
      </c>
      <c r="E60" s="12">
        <v>20</v>
      </c>
      <c r="F60" s="8">
        <v>3</v>
      </c>
      <c r="G60" s="12">
        <v>3</v>
      </c>
      <c r="H60" s="8">
        <v>0.91</v>
      </c>
      <c r="I60" s="12">
        <v>1</v>
      </c>
    </row>
    <row r="61" spans="2:9" ht="15" customHeight="1" x14ac:dyDescent="0.15">
      <c r="B61" t="s">
        <v>128</v>
      </c>
      <c r="C61" s="12">
        <v>20</v>
      </c>
      <c r="D61" s="8">
        <v>1.99</v>
      </c>
      <c r="E61" s="12">
        <v>14</v>
      </c>
      <c r="F61" s="8">
        <v>2.1</v>
      </c>
      <c r="G61" s="12">
        <v>6</v>
      </c>
      <c r="H61" s="8">
        <v>1.81</v>
      </c>
      <c r="I61" s="12">
        <v>0</v>
      </c>
    </row>
    <row r="62" spans="2:9" ht="15" customHeight="1" x14ac:dyDescent="0.15">
      <c r="B62" t="s">
        <v>137</v>
      </c>
      <c r="C62" s="12">
        <v>20</v>
      </c>
      <c r="D62" s="8">
        <v>1.99</v>
      </c>
      <c r="E62" s="12">
        <v>20</v>
      </c>
      <c r="F62" s="8">
        <v>3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127</v>
      </c>
      <c r="C63" s="12">
        <v>18</v>
      </c>
      <c r="D63" s="8">
        <v>1.79</v>
      </c>
      <c r="E63" s="12">
        <v>9</v>
      </c>
      <c r="F63" s="8">
        <v>1.35</v>
      </c>
      <c r="G63" s="12">
        <v>9</v>
      </c>
      <c r="H63" s="8">
        <v>2.72</v>
      </c>
      <c r="I63" s="12">
        <v>0</v>
      </c>
    </row>
    <row r="64" spans="2:9" ht="15" customHeight="1" x14ac:dyDescent="0.15">
      <c r="B64" t="s">
        <v>146</v>
      </c>
      <c r="C64" s="12">
        <v>18</v>
      </c>
      <c r="D64" s="8">
        <v>1.79</v>
      </c>
      <c r="E64" s="12">
        <v>18</v>
      </c>
      <c r="F64" s="8">
        <v>2.7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150</v>
      </c>
      <c r="C65" s="12">
        <v>18</v>
      </c>
      <c r="D65" s="8">
        <v>1.79</v>
      </c>
      <c r="E65" s="12">
        <v>9</v>
      </c>
      <c r="F65" s="8">
        <v>1.35</v>
      </c>
      <c r="G65" s="12">
        <v>9</v>
      </c>
      <c r="H65" s="8">
        <v>2.72</v>
      </c>
      <c r="I65" s="12">
        <v>0</v>
      </c>
    </row>
    <row r="66" spans="2:9" ht="15" customHeight="1" x14ac:dyDescent="0.15">
      <c r="B66" t="s">
        <v>129</v>
      </c>
      <c r="C66" s="12">
        <v>16</v>
      </c>
      <c r="D66" s="8">
        <v>1.6</v>
      </c>
      <c r="E66" s="12">
        <v>12</v>
      </c>
      <c r="F66" s="8">
        <v>1.8</v>
      </c>
      <c r="G66" s="12">
        <v>4</v>
      </c>
      <c r="H66" s="8">
        <v>1.21</v>
      </c>
      <c r="I66" s="12">
        <v>0</v>
      </c>
    </row>
    <row r="67" spans="2:9" ht="15" customHeight="1" x14ac:dyDescent="0.15">
      <c r="B67" t="s">
        <v>131</v>
      </c>
      <c r="C67" s="12">
        <v>16</v>
      </c>
      <c r="D67" s="8">
        <v>1.6</v>
      </c>
      <c r="E67" s="12">
        <v>10</v>
      </c>
      <c r="F67" s="8">
        <v>1.5</v>
      </c>
      <c r="G67" s="12">
        <v>6</v>
      </c>
      <c r="H67" s="8">
        <v>1.81</v>
      </c>
      <c r="I67" s="12">
        <v>0</v>
      </c>
    </row>
    <row r="68" spans="2:9" ht="15" customHeight="1" x14ac:dyDescent="0.15">
      <c r="B68" t="s">
        <v>139</v>
      </c>
      <c r="C68" s="12">
        <v>16</v>
      </c>
      <c r="D68" s="8">
        <v>1.6</v>
      </c>
      <c r="E68" s="12">
        <v>12</v>
      </c>
      <c r="F68" s="8">
        <v>1.8</v>
      </c>
      <c r="G68" s="12">
        <v>4</v>
      </c>
      <c r="H68" s="8">
        <v>1.21</v>
      </c>
      <c r="I68" s="12">
        <v>0</v>
      </c>
    </row>
    <row r="69" spans="2:9" ht="15" customHeight="1" x14ac:dyDescent="0.15">
      <c r="B69" t="s">
        <v>196</v>
      </c>
      <c r="C69" s="12">
        <v>15</v>
      </c>
      <c r="D69" s="8">
        <v>1.5</v>
      </c>
      <c r="E69" s="12">
        <v>11</v>
      </c>
      <c r="F69" s="8">
        <v>1.65</v>
      </c>
      <c r="G69" s="12">
        <v>4</v>
      </c>
      <c r="H69" s="8">
        <v>1.21</v>
      </c>
      <c r="I69" s="12">
        <v>0</v>
      </c>
    </row>
    <row r="70" spans="2:9" ht="15" customHeight="1" x14ac:dyDescent="0.15">
      <c r="B70" t="s">
        <v>148</v>
      </c>
      <c r="C70" s="12">
        <v>15</v>
      </c>
      <c r="D70" s="8">
        <v>1.5</v>
      </c>
      <c r="E70" s="12">
        <v>13</v>
      </c>
      <c r="F70" s="8">
        <v>1.95</v>
      </c>
      <c r="G70" s="12">
        <v>1</v>
      </c>
      <c r="H70" s="8">
        <v>0.3</v>
      </c>
      <c r="I70" s="12">
        <v>1</v>
      </c>
    </row>
    <row r="71" spans="2:9" ht="15" customHeight="1" x14ac:dyDescent="0.15">
      <c r="B71" t="s">
        <v>142</v>
      </c>
      <c r="C71" s="12">
        <v>15</v>
      </c>
      <c r="D71" s="8">
        <v>1.5</v>
      </c>
      <c r="E71" s="12">
        <v>12</v>
      </c>
      <c r="F71" s="8">
        <v>1.8</v>
      </c>
      <c r="G71" s="12">
        <v>3</v>
      </c>
      <c r="H71" s="8">
        <v>0.91</v>
      </c>
      <c r="I71" s="12">
        <v>0</v>
      </c>
    </row>
    <row r="72" spans="2:9" ht="15" customHeight="1" x14ac:dyDescent="0.15">
      <c r="B72" t="s">
        <v>126</v>
      </c>
      <c r="C72" s="12">
        <v>14</v>
      </c>
      <c r="D72" s="8">
        <v>1.4</v>
      </c>
      <c r="E72" s="12">
        <v>7</v>
      </c>
      <c r="F72" s="8">
        <v>1.05</v>
      </c>
      <c r="G72" s="12">
        <v>7</v>
      </c>
      <c r="H72" s="8">
        <v>2.11</v>
      </c>
      <c r="I72" s="12">
        <v>0</v>
      </c>
    </row>
    <row r="73" spans="2:9" ht="15" customHeight="1" x14ac:dyDescent="0.15">
      <c r="B73" t="s">
        <v>167</v>
      </c>
      <c r="C73" s="12">
        <v>14</v>
      </c>
      <c r="D73" s="8">
        <v>1.4</v>
      </c>
      <c r="E73" s="12">
        <v>10</v>
      </c>
      <c r="F73" s="8">
        <v>1.5</v>
      </c>
      <c r="G73" s="12">
        <v>4</v>
      </c>
      <c r="H73" s="8">
        <v>1.21</v>
      </c>
      <c r="I73" s="12">
        <v>0</v>
      </c>
    </row>
    <row r="74" spans="2:9" ht="15" customHeight="1" x14ac:dyDescent="0.15">
      <c r="B74" t="s">
        <v>135</v>
      </c>
      <c r="C74" s="12">
        <v>14</v>
      </c>
      <c r="D74" s="8">
        <v>1.4</v>
      </c>
      <c r="E74" s="12">
        <v>13</v>
      </c>
      <c r="F74" s="8">
        <v>1.95</v>
      </c>
      <c r="G74" s="12">
        <v>1</v>
      </c>
      <c r="H74" s="8">
        <v>0.3</v>
      </c>
      <c r="I74" s="12">
        <v>0</v>
      </c>
    </row>
    <row r="76" spans="2:9" ht="15" customHeight="1" x14ac:dyDescent="0.15">
      <c r="B76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1156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123</v>
      </c>
      <c r="B1" s="3" t="s">
        <v>212</v>
      </c>
      <c r="C1" s="7" t="s">
        <v>67</v>
      </c>
      <c r="D1" s="7" t="s">
        <v>68</v>
      </c>
      <c r="E1" s="7" t="s">
        <v>69</v>
      </c>
      <c r="F1" s="7" t="s">
        <v>70</v>
      </c>
      <c r="G1" s="7" t="s">
        <v>71</v>
      </c>
      <c r="H1" s="7" t="s">
        <v>72</v>
      </c>
      <c r="I1" s="7" t="s">
        <v>73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141</v>
      </c>
      <c r="C3" s="4">
        <v>5935</v>
      </c>
      <c r="D3" s="8">
        <v>4.8</v>
      </c>
      <c r="E3" s="4">
        <v>5392</v>
      </c>
      <c r="F3" s="8">
        <v>7.3</v>
      </c>
      <c r="G3" s="4">
        <v>543</v>
      </c>
      <c r="H3" s="8">
        <v>1.0900000000000001</v>
      </c>
      <c r="I3" s="4">
        <v>0</v>
      </c>
    </row>
    <row r="4" spans="1:9" x14ac:dyDescent="0.15">
      <c r="A4" s="2">
        <v>2</v>
      </c>
      <c r="B4" s="1" t="s">
        <v>134</v>
      </c>
      <c r="C4" s="4">
        <v>4246</v>
      </c>
      <c r="D4" s="8">
        <v>3.43</v>
      </c>
      <c r="E4" s="4">
        <v>2452</v>
      </c>
      <c r="F4" s="8">
        <v>3.32</v>
      </c>
      <c r="G4" s="4">
        <v>1792</v>
      </c>
      <c r="H4" s="8">
        <v>3.61</v>
      </c>
      <c r="I4" s="4">
        <v>2</v>
      </c>
    </row>
    <row r="5" spans="1:9" x14ac:dyDescent="0.15">
      <c r="A5" s="2">
        <v>3</v>
      </c>
      <c r="B5" s="1" t="s">
        <v>138</v>
      </c>
      <c r="C5" s="4">
        <v>4038</v>
      </c>
      <c r="D5" s="8">
        <v>3.26</v>
      </c>
      <c r="E5" s="4">
        <v>3786</v>
      </c>
      <c r="F5" s="8">
        <v>5.13</v>
      </c>
      <c r="G5" s="4">
        <v>246</v>
      </c>
      <c r="H5" s="8">
        <v>0.5</v>
      </c>
      <c r="I5" s="4">
        <v>6</v>
      </c>
    </row>
    <row r="6" spans="1:9" x14ac:dyDescent="0.15">
      <c r="A6" s="2">
        <v>4</v>
      </c>
      <c r="B6" s="1" t="s">
        <v>137</v>
      </c>
      <c r="C6" s="4">
        <v>3477</v>
      </c>
      <c r="D6" s="8">
        <v>2.81</v>
      </c>
      <c r="E6" s="4">
        <v>3419</v>
      </c>
      <c r="F6" s="8">
        <v>4.63</v>
      </c>
      <c r="G6" s="4">
        <v>58</v>
      </c>
      <c r="H6" s="8">
        <v>0.12</v>
      </c>
      <c r="I6" s="4">
        <v>0</v>
      </c>
    </row>
    <row r="7" spans="1:9" x14ac:dyDescent="0.15">
      <c r="A7" s="2">
        <v>5</v>
      </c>
      <c r="B7" s="1" t="s">
        <v>132</v>
      </c>
      <c r="C7" s="4">
        <v>3443</v>
      </c>
      <c r="D7" s="8">
        <v>2.78</v>
      </c>
      <c r="E7" s="4">
        <v>2529</v>
      </c>
      <c r="F7" s="8">
        <v>3.43</v>
      </c>
      <c r="G7" s="4">
        <v>911</v>
      </c>
      <c r="H7" s="8">
        <v>1.83</v>
      </c>
      <c r="I7" s="4">
        <v>3</v>
      </c>
    </row>
    <row r="8" spans="1:9" x14ac:dyDescent="0.15">
      <c r="A8" s="2">
        <v>6</v>
      </c>
      <c r="B8" s="1" t="s">
        <v>143</v>
      </c>
      <c r="C8" s="4">
        <v>3199</v>
      </c>
      <c r="D8" s="8">
        <v>2.59</v>
      </c>
      <c r="E8" s="4">
        <v>2576</v>
      </c>
      <c r="F8" s="8">
        <v>3.49</v>
      </c>
      <c r="G8" s="4">
        <v>605</v>
      </c>
      <c r="H8" s="8">
        <v>1.22</v>
      </c>
      <c r="I8" s="4">
        <v>18</v>
      </c>
    </row>
    <row r="9" spans="1:9" x14ac:dyDescent="0.15">
      <c r="A9" s="2">
        <v>7</v>
      </c>
      <c r="B9" s="1" t="s">
        <v>140</v>
      </c>
      <c r="C9" s="4">
        <v>3157</v>
      </c>
      <c r="D9" s="8">
        <v>2.5499999999999998</v>
      </c>
      <c r="E9" s="4">
        <v>3003</v>
      </c>
      <c r="F9" s="8">
        <v>4.07</v>
      </c>
      <c r="G9" s="4">
        <v>154</v>
      </c>
      <c r="H9" s="8">
        <v>0.31</v>
      </c>
      <c r="I9" s="4">
        <v>0</v>
      </c>
    </row>
    <row r="10" spans="1:9" x14ac:dyDescent="0.15">
      <c r="A10" s="2">
        <v>8</v>
      </c>
      <c r="B10" s="1" t="s">
        <v>135</v>
      </c>
      <c r="C10" s="4">
        <v>3156</v>
      </c>
      <c r="D10" s="8">
        <v>2.5499999999999998</v>
      </c>
      <c r="E10" s="4">
        <v>2757</v>
      </c>
      <c r="F10" s="8">
        <v>3.73</v>
      </c>
      <c r="G10" s="4">
        <v>399</v>
      </c>
      <c r="H10" s="8">
        <v>0.8</v>
      </c>
      <c r="I10" s="4">
        <v>0</v>
      </c>
    </row>
    <row r="11" spans="1:9" x14ac:dyDescent="0.15">
      <c r="A11" s="2">
        <v>9</v>
      </c>
      <c r="B11" s="1" t="s">
        <v>136</v>
      </c>
      <c r="C11" s="4">
        <v>3017</v>
      </c>
      <c r="D11" s="8">
        <v>2.44</v>
      </c>
      <c r="E11" s="4">
        <v>2830</v>
      </c>
      <c r="F11" s="8">
        <v>3.83</v>
      </c>
      <c r="G11" s="4">
        <v>187</v>
      </c>
      <c r="H11" s="8">
        <v>0.38</v>
      </c>
      <c r="I11" s="4">
        <v>0</v>
      </c>
    </row>
    <row r="12" spans="1:9" x14ac:dyDescent="0.15">
      <c r="A12" s="2">
        <v>10</v>
      </c>
      <c r="B12" s="1" t="s">
        <v>144</v>
      </c>
      <c r="C12" s="4">
        <v>2858</v>
      </c>
      <c r="D12" s="8">
        <v>2.31</v>
      </c>
      <c r="E12" s="4">
        <v>2574</v>
      </c>
      <c r="F12" s="8">
        <v>3.49</v>
      </c>
      <c r="G12" s="4">
        <v>283</v>
      </c>
      <c r="H12" s="8">
        <v>0.56999999999999995</v>
      </c>
      <c r="I12" s="4">
        <v>1</v>
      </c>
    </row>
    <row r="13" spans="1:9" x14ac:dyDescent="0.15">
      <c r="A13" s="2">
        <v>11</v>
      </c>
      <c r="B13" s="1" t="s">
        <v>125</v>
      </c>
      <c r="C13" s="4">
        <v>2368</v>
      </c>
      <c r="D13" s="8">
        <v>1.91</v>
      </c>
      <c r="E13" s="4">
        <v>643</v>
      </c>
      <c r="F13" s="8">
        <v>0.87</v>
      </c>
      <c r="G13" s="4">
        <v>1725</v>
      </c>
      <c r="H13" s="8">
        <v>3.47</v>
      </c>
      <c r="I13" s="4">
        <v>0</v>
      </c>
    </row>
    <row r="14" spans="1:9" x14ac:dyDescent="0.15">
      <c r="A14" s="2">
        <v>12</v>
      </c>
      <c r="B14" s="1" t="s">
        <v>128</v>
      </c>
      <c r="C14" s="4">
        <v>2164</v>
      </c>
      <c r="D14" s="8">
        <v>1.75</v>
      </c>
      <c r="E14" s="4">
        <v>1176</v>
      </c>
      <c r="F14" s="8">
        <v>1.59</v>
      </c>
      <c r="G14" s="4">
        <v>988</v>
      </c>
      <c r="H14" s="8">
        <v>1.99</v>
      </c>
      <c r="I14" s="4">
        <v>0</v>
      </c>
    </row>
    <row r="15" spans="1:9" x14ac:dyDescent="0.15">
      <c r="A15" s="2">
        <v>13</v>
      </c>
      <c r="B15" s="1" t="s">
        <v>129</v>
      </c>
      <c r="C15" s="4">
        <v>2069</v>
      </c>
      <c r="D15" s="8">
        <v>1.67</v>
      </c>
      <c r="E15" s="4">
        <v>1441</v>
      </c>
      <c r="F15" s="8">
        <v>1.95</v>
      </c>
      <c r="G15" s="4">
        <v>619</v>
      </c>
      <c r="H15" s="8">
        <v>1.25</v>
      </c>
      <c r="I15" s="4">
        <v>9</v>
      </c>
    </row>
    <row r="16" spans="1:9" x14ac:dyDescent="0.15">
      <c r="A16" s="2">
        <v>14</v>
      </c>
      <c r="B16" s="1" t="s">
        <v>130</v>
      </c>
      <c r="C16" s="4">
        <v>1950</v>
      </c>
      <c r="D16" s="8">
        <v>1.58</v>
      </c>
      <c r="E16" s="4">
        <v>1230</v>
      </c>
      <c r="F16" s="8">
        <v>1.67</v>
      </c>
      <c r="G16" s="4">
        <v>720</v>
      </c>
      <c r="H16" s="8">
        <v>1.45</v>
      </c>
      <c r="I16" s="4">
        <v>0</v>
      </c>
    </row>
    <row r="17" spans="1:9" x14ac:dyDescent="0.15">
      <c r="A17" s="2">
        <v>15</v>
      </c>
      <c r="B17" s="1" t="s">
        <v>139</v>
      </c>
      <c r="C17" s="4">
        <v>1857</v>
      </c>
      <c r="D17" s="8">
        <v>1.5</v>
      </c>
      <c r="E17" s="4">
        <v>1003</v>
      </c>
      <c r="F17" s="8">
        <v>1.36</v>
      </c>
      <c r="G17" s="4">
        <v>854</v>
      </c>
      <c r="H17" s="8">
        <v>1.72</v>
      </c>
      <c r="I17" s="4">
        <v>0</v>
      </c>
    </row>
    <row r="18" spans="1:9" x14ac:dyDescent="0.15">
      <c r="A18" s="2">
        <v>16</v>
      </c>
      <c r="B18" s="1" t="s">
        <v>133</v>
      </c>
      <c r="C18" s="4">
        <v>1643</v>
      </c>
      <c r="D18" s="8">
        <v>1.33</v>
      </c>
      <c r="E18" s="4">
        <v>393</v>
      </c>
      <c r="F18" s="8">
        <v>0.53</v>
      </c>
      <c r="G18" s="4">
        <v>1250</v>
      </c>
      <c r="H18" s="8">
        <v>2.52</v>
      </c>
      <c r="I18" s="4">
        <v>0</v>
      </c>
    </row>
    <row r="19" spans="1:9" x14ac:dyDescent="0.15">
      <c r="A19" s="2">
        <v>17</v>
      </c>
      <c r="B19" s="1" t="s">
        <v>142</v>
      </c>
      <c r="C19" s="4">
        <v>1616</v>
      </c>
      <c r="D19" s="8">
        <v>1.31</v>
      </c>
      <c r="E19" s="4">
        <v>1237</v>
      </c>
      <c r="F19" s="8">
        <v>1.68</v>
      </c>
      <c r="G19" s="4">
        <v>376</v>
      </c>
      <c r="H19" s="8">
        <v>0.76</v>
      </c>
      <c r="I19" s="4">
        <v>3</v>
      </c>
    </row>
    <row r="20" spans="1:9" x14ac:dyDescent="0.15">
      <c r="A20" s="2">
        <v>18</v>
      </c>
      <c r="B20" s="1" t="s">
        <v>126</v>
      </c>
      <c r="C20" s="4">
        <v>1608</v>
      </c>
      <c r="D20" s="8">
        <v>1.3</v>
      </c>
      <c r="E20" s="4">
        <v>384</v>
      </c>
      <c r="F20" s="8">
        <v>0.52</v>
      </c>
      <c r="G20" s="4">
        <v>1224</v>
      </c>
      <c r="H20" s="8">
        <v>2.46</v>
      </c>
      <c r="I20" s="4">
        <v>0</v>
      </c>
    </row>
    <row r="21" spans="1:9" x14ac:dyDescent="0.15">
      <c r="A21" s="2">
        <v>19</v>
      </c>
      <c r="B21" s="1" t="s">
        <v>131</v>
      </c>
      <c r="C21" s="4">
        <v>1606</v>
      </c>
      <c r="D21" s="8">
        <v>1.3</v>
      </c>
      <c r="E21" s="4">
        <v>719</v>
      </c>
      <c r="F21" s="8">
        <v>0.97</v>
      </c>
      <c r="G21" s="4">
        <v>885</v>
      </c>
      <c r="H21" s="8">
        <v>1.78</v>
      </c>
      <c r="I21" s="4">
        <v>2</v>
      </c>
    </row>
    <row r="22" spans="1:9" x14ac:dyDescent="0.15">
      <c r="A22" s="2">
        <v>20</v>
      </c>
      <c r="B22" s="1" t="s">
        <v>127</v>
      </c>
      <c r="C22" s="4">
        <v>1593</v>
      </c>
      <c r="D22" s="8">
        <v>1.29</v>
      </c>
      <c r="E22" s="4">
        <v>720</v>
      </c>
      <c r="F22" s="8">
        <v>0.98</v>
      </c>
      <c r="G22" s="4">
        <v>873</v>
      </c>
      <c r="H22" s="8">
        <v>1.76</v>
      </c>
      <c r="I22" s="4">
        <v>0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137</v>
      </c>
      <c r="C25" s="4">
        <v>1643</v>
      </c>
      <c r="D25" s="8">
        <v>4.4000000000000004</v>
      </c>
      <c r="E25" s="4">
        <v>1616</v>
      </c>
      <c r="F25" s="8">
        <v>7.83</v>
      </c>
      <c r="G25" s="4">
        <v>27</v>
      </c>
      <c r="H25" s="8">
        <v>0.16</v>
      </c>
      <c r="I25" s="4">
        <v>0</v>
      </c>
    </row>
    <row r="26" spans="1:9" x14ac:dyDescent="0.15">
      <c r="A26" s="2">
        <v>2</v>
      </c>
      <c r="B26" s="1" t="s">
        <v>141</v>
      </c>
      <c r="C26" s="4">
        <v>1482</v>
      </c>
      <c r="D26" s="8">
        <v>3.97</v>
      </c>
      <c r="E26" s="4">
        <v>1302</v>
      </c>
      <c r="F26" s="8">
        <v>6.31</v>
      </c>
      <c r="G26" s="4">
        <v>180</v>
      </c>
      <c r="H26" s="8">
        <v>1.08</v>
      </c>
      <c r="I26" s="4">
        <v>0</v>
      </c>
    </row>
    <row r="27" spans="1:9" x14ac:dyDescent="0.15">
      <c r="A27" s="2">
        <v>3</v>
      </c>
      <c r="B27" s="1" t="s">
        <v>134</v>
      </c>
      <c r="C27" s="4">
        <v>1395</v>
      </c>
      <c r="D27" s="8">
        <v>3.73</v>
      </c>
      <c r="E27" s="4">
        <v>696</v>
      </c>
      <c r="F27" s="8">
        <v>3.37</v>
      </c>
      <c r="G27" s="4">
        <v>699</v>
      </c>
      <c r="H27" s="8">
        <v>4.1900000000000004</v>
      </c>
      <c r="I27" s="4">
        <v>0</v>
      </c>
    </row>
    <row r="28" spans="1:9" x14ac:dyDescent="0.15">
      <c r="A28" s="2">
        <v>4</v>
      </c>
      <c r="B28" s="1" t="s">
        <v>138</v>
      </c>
      <c r="C28" s="4">
        <v>1316</v>
      </c>
      <c r="D28" s="8">
        <v>3.52</v>
      </c>
      <c r="E28" s="4">
        <v>1203</v>
      </c>
      <c r="F28" s="8">
        <v>5.83</v>
      </c>
      <c r="G28" s="4">
        <v>113</v>
      </c>
      <c r="H28" s="8">
        <v>0.68</v>
      </c>
      <c r="I28" s="4">
        <v>0</v>
      </c>
    </row>
    <row r="29" spans="1:9" x14ac:dyDescent="0.15">
      <c r="A29" s="2">
        <v>5</v>
      </c>
      <c r="B29" s="1" t="s">
        <v>135</v>
      </c>
      <c r="C29" s="4">
        <v>1251</v>
      </c>
      <c r="D29" s="8">
        <v>3.35</v>
      </c>
      <c r="E29" s="4">
        <v>1066</v>
      </c>
      <c r="F29" s="8">
        <v>5.17</v>
      </c>
      <c r="G29" s="4">
        <v>185</v>
      </c>
      <c r="H29" s="8">
        <v>1.1100000000000001</v>
      </c>
      <c r="I29" s="4">
        <v>0</v>
      </c>
    </row>
    <row r="30" spans="1:9" x14ac:dyDescent="0.15">
      <c r="A30" s="2">
        <v>6</v>
      </c>
      <c r="B30" s="1" t="s">
        <v>136</v>
      </c>
      <c r="C30" s="4">
        <v>1125</v>
      </c>
      <c r="D30" s="8">
        <v>3.01</v>
      </c>
      <c r="E30" s="4">
        <v>1030</v>
      </c>
      <c r="F30" s="8">
        <v>4.99</v>
      </c>
      <c r="G30" s="4">
        <v>95</v>
      </c>
      <c r="H30" s="8">
        <v>0.56999999999999995</v>
      </c>
      <c r="I30" s="4">
        <v>0</v>
      </c>
    </row>
    <row r="31" spans="1:9" x14ac:dyDescent="0.15">
      <c r="A31" s="2">
        <v>7</v>
      </c>
      <c r="B31" s="1" t="s">
        <v>132</v>
      </c>
      <c r="C31" s="4">
        <v>1016</v>
      </c>
      <c r="D31" s="8">
        <v>2.72</v>
      </c>
      <c r="E31" s="4">
        <v>693</v>
      </c>
      <c r="F31" s="8">
        <v>3.36</v>
      </c>
      <c r="G31" s="4">
        <v>322</v>
      </c>
      <c r="H31" s="8">
        <v>1.93</v>
      </c>
      <c r="I31" s="4">
        <v>1</v>
      </c>
    </row>
    <row r="32" spans="1:9" x14ac:dyDescent="0.15">
      <c r="A32" s="2">
        <v>8</v>
      </c>
      <c r="B32" s="1" t="s">
        <v>143</v>
      </c>
      <c r="C32" s="4">
        <v>930</v>
      </c>
      <c r="D32" s="8">
        <v>2.4900000000000002</v>
      </c>
      <c r="E32" s="4">
        <v>723</v>
      </c>
      <c r="F32" s="8">
        <v>3.5</v>
      </c>
      <c r="G32" s="4">
        <v>197</v>
      </c>
      <c r="H32" s="8">
        <v>1.18</v>
      </c>
      <c r="I32" s="4">
        <v>10</v>
      </c>
    </row>
    <row r="33" spans="1:9" x14ac:dyDescent="0.15">
      <c r="A33" s="2">
        <v>9</v>
      </c>
      <c r="B33" s="1" t="s">
        <v>144</v>
      </c>
      <c r="C33" s="4">
        <v>886</v>
      </c>
      <c r="D33" s="8">
        <v>2.37</v>
      </c>
      <c r="E33" s="4">
        <v>764</v>
      </c>
      <c r="F33" s="8">
        <v>3.7</v>
      </c>
      <c r="G33" s="4">
        <v>122</v>
      </c>
      <c r="H33" s="8">
        <v>0.73</v>
      </c>
      <c r="I33" s="4">
        <v>0</v>
      </c>
    </row>
    <row r="34" spans="1:9" x14ac:dyDescent="0.15">
      <c r="A34" s="2">
        <v>10</v>
      </c>
      <c r="B34" s="1" t="s">
        <v>128</v>
      </c>
      <c r="C34" s="4">
        <v>752</v>
      </c>
      <c r="D34" s="8">
        <v>2.0099999999999998</v>
      </c>
      <c r="E34" s="4">
        <v>378</v>
      </c>
      <c r="F34" s="8">
        <v>1.83</v>
      </c>
      <c r="G34" s="4">
        <v>374</v>
      </c>
      <c r="H34" s="8">
        <v>2.2400000000000002</v>
      </c>
      <c r="I34" s="4">
        <v>0</v>
      </c>
    </row>
    <row r="35" spans="1:9" x14ac:dyDescent="0.15">
      <c r="A35" s="2">
        <v>11</v>
      </c>
      <c r="B35" s="1" t="s">
        <v>140</v>
      </c>
      <c r="C35" s="4">
        <v>748</v>
      </c>
      <c r="D35" s="8">
        <v>2</v>
      </c>
      <c r="E35" s="4">
        <v>690</v>
      </c>
      <c r="F35" s="8">
        <v>3.34</v>
      </c>
      <c r="G35" s="4">
        <v>58</v>
      </c>
      <c r="H35" s="8">
        <v>0.35</v>
      </c>
      <c r="I35" s="4">
        <v>0</v>
      </c>
    </row>
    <row r="36" spans="1:9" x14ac:dyDescent="0.15">
      <c r="A36" s="2">
        <v>12</v>
      </c>
      <c r="B36" s="1" t="s">
        <v>129</v>
      </c>
      <c r="C36" s="4">
        <v>689</v>
      </c>
      <c r="D36" s="8">
        <v>1.84</v>
      </c>
      <c r="E36" s="4">
        <v>433</v>
      </c>
      <c r="F36" s="8">
        <v>2.1</v>
      </c>
      <c r="G36" s="4">
        <v>256</v>
      </c>
      <c r="H36" s="8">
        <v>1.54</v>
      </c>
      <c r="I36" s="4">
        <v>0</v>
      </c>
    </row>
    <row r="37" spans="1:9" x14ac:dyDescent="0.15">
      <c r="A37" s="2">
        <v>13</v>
      </c>
      <c r="B37" s="1" t="s">
        <v>133</v>
      </c>
      <c r="C37" s="4">
        <v>597</v>
      </c>
      <c r="D37" s="8">
        <v>1.6</v>
      </c>
      <c r="E37" s="4">
        <v>127</v>
      </c>
      <c r="F37" s="8">
        <v>0.62</v>
      </c>
      <c r="G37" s="4">
        <v>470</v>
      </c>
      <c r="H37" s="8">
        <v>2.82</v>
      </c>
      <c r="I37" s="4">
        <v>0</v>
      </c>
    </row>
    <row r="38" spans="1:9" x14ac:dyDescent="0.15">
      <c r="A38" s="2">
        <v>14</v>
      </c>
      <c r="B38" s="1" t="s">
        <v>139</v>
      </c>
      <c r="C38" s="4">
        <v>557</v>
      </c>
      <c r="D38" s="8">
        <v>1.49</v>
      </c>
      <c r="E38" s="4">
        <v>327</v>
      </c>
      <c r="F38" s="8">
        <v>1.59</v>
      </c>
      <c r="G38" s="4">
        <v>230</v>
      </c>
      <c r="H38" s="8">
        <v>1.38</v>
      </c>
      <c r="I38" s="4">
        <v>0</v>
      </c>
    </row>
    <row r="39" spans="1:9" x14ac:dyDescent="0.15">
      <c r="A39" s="2">
        <v>15</v>
      </c>
      <c r="B39" s="1" t="s">
        <v>149</v>
      </c>
      <c r="C39" s="4">
        <v>546</v>
      </c>
      <c r="D39" s="8">
        <v>1.46</v>
      </c>
      <c r="E39" s="4">
        <v>47</v>
      </c>
      <c r="F39" s="8">
        <v>0.23</v>
      </c>
      <c r="G39" s="4">
        <v>492</v>
      </c>
      <c r="H39" s="8">
        <v>2.95</v>
      </c>
      <c r="I39" s="4">
        <v>7</v>
      </c>
    </row>
    <row r="40" spans="1:9" x14ac:dyDescent="0.15">
      <c r="A40" s="2">
        <v>16</v>
      </c>
      <c r="B40" s="1" t="s">
        <v>151</v>
      </c>
      <c r="C40" s="4">
        <v>540</v>
      </c>
      <c r="D40" s="8">
        <v>1.45</v>
      </c>
      <c r="E40" s="4">
        <v>511</v>
      </c>
      <c r="F40" s="8">
        <v>2.48</v>
      </c>
      <c r="G40" s="4">
        <v>29</v>
      </c>
      <c r="H40" s="8">
        <v>0.17</v>
      </c>
      <c r="I40" s="4">
        <v>0</v>
      </c>
    </row>
    <row r="41" spans="1:9" x14ac:dyDescent="0.15">
      <c r="A41" s="2">
        <v>17</v>
      </c>
      <c r="B41" s="1" t="s">
        <v>147</v>
      </c>
      <c r="C41" s="4">
        <v>504</v>
      </c>
      <c r="D41" s="8">
        <v>1.35</v>
      </c>
      <c r="E41" s="4">
        <v>96</v>
      </c>
      <c r="F41" s="8">
        <v>0.47</v>
      </c>
      <c r="G41" s="4">
        <v>407</v>
      </c>
      <c r="H41" s="8">
        <v>2.44</v>
      </c>
      <c r="I41" s="4">
        <v>1</v>
      </c>
    </row>
    <row r="42" spans="1:9" x14ac:dyDescent="0.15">
      <c r="A42" s="2">
        <v>18</v>
      </c>
      <c r="B42" s="1" t="s">
        <v>148</v>
      </c>
      <c r="C42" s="4">
        <v>460</v>
      </c>
      <c r="D42" s="8">
        <v>1.23</v>
      </c>
      <c r="E42" s="4">
        <v>315</v>
      </c>
      <c r="F42" s="8">
        <v>1.53</v>
      </c>
      <c r="G42" s="4">
        <v>144</v>
      </c>
      <c r="H42" s="8">
        <v>0.86</v>
      </c>
      <c r="I42" s="4">
        <v>1</v>
      </c>
    </row>
    <row r="43" spans="1:9" x14ac:dyDescent="0.15">
      <c r="A43" s="2">
        <v>19</v>
      </c>
      <c r="B43" s="1" t="s">
        <v>145</v>
      </c>
      <c r="C43" s="4">
        <v>456</v>
      </c>
      <c r="D43" s="8">
        <v>1.22</v>
      </c>
      <c r="E43" s="4">
        <v>231</v>
      </c>
      <c r="F43" s="8">
        <v>1.1200000000000001</v>
      </c>
      <c r="G43" s="4">
        <v>225</v>
      </c>
      <c r="H43" s="8">
        <v>1.35</v>
      </c>
      <c r="I43" s="4">
        <v>0</v>
      </c>
    </row>
    <row r="44" spans="1:9" x14ac:dyDescent="0.15">
      <c r="A44" s="2">
        <v>20</v>
      </c>
      <c r="B44" s="1" t="s">
        <v>146</v>
      </c>
      <c r="C44" s="4">
        <v>435</v>
      </c>
      <c r="D44" s="8">
        <v>1.1599999999999999</v>
      </c>
      <c r="E44" s="4">
        <v>267</v>
      </c>
      <c r="F44" s="8">
        <v>1.29</v>
      </c>
      <c r="G44" s="4">
        <v>167</v>
      </c>
      <c r="H44" s="8">
        <v>1</v>
      </c>
      <c r="I44" s="4">
        <v>1</v>
      </c>
    </row>
    <row r="45" spans="1:9" x14ac:dyDescent="0.15">
      <c r="A45" s="2">
        <v>20</v>
      </c>
      <c r="B45" s="1" t="s">
        <v>150</v>
      </c>
      <c r="C45" s="4">
        <v>435</v>
      </c>
      <c r="D45" s="8">
        <v>1.1599999999999999</v>
      </c>
      <c r="E45" s="4">
        <v>158</v>
      </c>
      <c r="F45" s="8">
        <v>0.77</v>
      </c>
      <c r="G45" s="4">
        <v>276</v>
      </c>
      <c r="H45" s="8">
        <v>1.66</v>
      </c>
      <c r="I45" s="4">
        <v>1</v>
      </c>
    </row>
    <row r="46" spans="1:9" x14ac:dyDescent="0.15">
      <c r="A46" s="1"/>
      <c r="C46" s="4"/>
      <c r="D46" s="8"/>
      <c r="E46" s="4"/>
      <c r="F46" s="8"/>
      <c r="G46" s="4"/>
      <c r="H46" s="8"/>
      <c r="I46" s="4"/>
    </row>
    <row r="47" spans="1:9" x14ac:dyDescent="0.15">
      <c r="A47" s="1" t="s">
        <v>2</v>
      </c>
      <c r="C47" s="4"/>
      <c r="D47" s="8"/>
      <c r="E47" s="4"/>
      <c r="F47" s="8"/>
      <c r="G47" s="4"/>
      <c r="H47" s="8"/>
      <c r="I47" s="4"/>
    </row>
    <row r="48" spans="1:9" x14ac:dyDescent="0.15">
      <c r="A48" s="2">
        <v>1</v>
      </c>
      <c r="B48" s="1" t="s">
        <v>141</v>
      </c>
      <c r="C48" s="4">
        <v>213</v>
      </c>
      <c r="D48" s="8">
        <v>5.39</v>
      </c>
      <c r="E48" s="4">
        <v>176</v>
      </c>
      <c r="F48" s="8">
        <v>9.42</v>
      </c>
      <c r="G48" s="4">
        <v>37</v>
      </c>
      <c r="H48" s="8">
        <v>1.79</v>
      </c>
      <c r="I48" s="4">
        <v>0</v>
      </c>
    </row>
    <row r="49" spans="1:9" x14ac:dyDescent="0.15">
      <c r="A49" s="2">
        <v>2</v>
      </c>
      <c r="B49" s="1" t="s">
        <v>143</v>
      </c>
      <c r="C49" s="4">
        <v>160</v>
      </c>
      <c r="D49" s="8">
        <v>4.05</v>
      </c>
      <c r="E49" s="4">
        <v>109</v>
      </c>
      <c r="F49" s="8">
        <v>5.83</v>
      </c>
      <c r="G49" s="4">
        <v>48</v>
      </c>
      <c r="H49" s="8">
        <v>2.3199999999999998</v>
      </c>
      <c r="I49" s="4">
        <v>3</v>
      </c>
    </row>
    <row r="50" spans="1:9" x14ac:dyDescent="0.15">
      <c r="A50" s="2">
        <v>3</v>
      </c>
      <c r="B50" s="1" t="s">
        <v>134</v>
      </c>
      <c r="C50" s="4">
        <v>146</v>
      </c>
      <c r="D50" s="8">
        <v>3.69</v>
      </c>
      <c r="E50" s="4">
        <v>41</v>
      </c>
      <c r="F50" s="8">
        <v>2.19</v>
      </c>
      <c r="G50" s="4">
        <v>105</v>
      </c>
      <c r="H50" s="8">
        <v>5.07</v>
      </c>
      <c r="I50" s="4">
        <v>0</v>
      </c>
    </row>
    <row r="51" spans="1:9" x14ac:dyDescent="0.15">
      <c r="A51" s="2">
        <v>4</v>
      </c>
      <c r="B51" s="1" t="s">
        <v>144</v>
      </c>
      <c r="C51" s="4">
        <v>130</v>
      </c>
      <c r="D51" s="8">
        <v>3.29</v>
      </c>
      <c r="E51" s="4">
        <v>106</v>
      </c>
      <c r="F51" s="8">
        <v>5.67</v>
      </c>
      <c r="G51" s="4">
        <v>24</v>
      </c>
      <c r="H51" s="8">
        <v>1.1599999999999999</v>
      </c>
      <c r="I51" s="4">
        <v>0</v>
      </c>
    </row>
    <row r="52" spans="1:9" x14ac:dyDescent="0.15">
      <c r="A52" s="2">
        <v>5</v>
      </c>
      <c r="B52" s="1" t="s">
        <v>136</v>
      </c>
      <c r="C52" s="4">
        <v>114</v>
      </c>
      <c r="D52" s="8">
        <v>2.88</v>
      </c>
      <c r="E52" s="4">
        <v>101</v>
      </c>
      <c r="F52" s="8">
        <v>5.4</v>
      </c>
      <c r="G52" s="4">
        <v>13</v>
      </c>
      <c r="H52" s="8">
        <v>0.63</v>
      </c>
      <c r="I52" s="4">
        <v>0</v>
      </c>
    </row>
    <row r="53" spans="1:9" x14ac:dyDescent="0.15">
      <c r="A53" s="2">
        <v>6</v>
      </c>
      <c r="B53" s="1" t="s">
        <v>132</v>
      </c>
      <c r="C53" s="4">
        <v>106</v>
      </c>
      <c r="D53" s="8">
        <v>2.68</v>
      </c>
      <c r="E53" s="4">
        <v>78</v>
      </c>
      <c r="F53" s="8">
        <v>4.17</v>
      </c>
      <c r="G53" s="4">
        <v>27</v>
      </c>
      <c r="H53" s="8">
        <v>1.3</v>
      </c>
      <c r="I53" s="4">
        <v>1</v>
      </c>
    </row>
    <row r="54" spans="1:9" x14ac:dyDescent="0.15">
      <c r="A54" s="2">
        <v>7</v>
      </c>
      <c r="B54" s="1" t="s">
        <v>138</v>
      </c>
      <c r="C54" s="4">
        <v>105</v>
      </c>
      <c r="D54" s="8">
        <v>2.66</v>
      </c>
      <c r="E54" s="4">
        <v>90</v>
      </c>
      <c r="F54" s="8">
        <v>4.82</v>
      </c>
      <c r="G54" s="4">
        <v>15</v>
      </c>
      <c r="H54" s="8">
        <v>0.72</v>
      </c>
      <c r="I54" s="4">
        <v>0</v>
      </c>
    </row>
    <row r="55" spans="1:9" x14ac:dyDescent="0.15">
      <c r="A55" s="2">
        <v>8</v>
      </c>
      <c r="B55" s="1" t="s">
        <v>149</v>
      </c>
      <c r="C55" s="4">
        <v>102</v>
      </c>
      <c r="D55" s="8">
        <v>2.58</v>
      </c>
      <c r="E55" s="4">
        <v>2</v>
      </c>
      <c r="F55" s="8">
        <v>0.11</v>
      </c>
      <c r="G55" s="4">
        <v>100</v>
      </c>
      <c r="H55" s="8">
        <v>4.83</v>
      </c>
      <c r="I55" s="4">
        <v>0</v>
      </c>
    </row>
    <row r="56" spans="1:9" x14ac:dyDescent="0.15">
      <c r="A56" s="2">
        <v>9</v>
      </c>
      <c r="B56" s="1" t="s">
        <v>135</v>
      </c>
      <c r="C56" s="4">
        <v>99</v>
      </c>
      <c r="D56" s="8">
        <v>2.5099999999999998</v>
      </c>
      <c r="E56" s="4">
        <v>83</v>
      </c>
      <c r="F56" s="8">
        <v>4.4400000000000004</v>
      </c>
      <c r="G56" s="4">
        <v>16</v>
      </c>
      <c r="H56" s="8">
        <v>0.77</v>
      </c>
      <c r="I56" s="4">
        <v>0</v>
      </c>
    </row>
    <row r="57" spans="1:9" x14ac:dyDescent="0.15">
      <c r="A57" s="2">
        <v>10</v>
      </c>
      <c r="B57" s="1" t="s">
        <v>139</v>
      </c>
      <c r="C57" s="4">
        <v>89</v>
      </c>
      <c r="D57" s="8">
        <v>2.25</v>
      </c>
      <c r="E57" s="4">
        <v>41</v>
      </c>
      <c r="F57" s="8">
        <v>2.19</v>
      </c>
      <c r="G57" s="4">
        <v>48</v>
      </c>
      <c r="H57" s="8">
        <v>2.3199999999999998</v>
      </c>
      <c r="I57" s="4">
        <v>0</v>
      </c>
    </row>
    <row r="58" spans="1:9" x14ac:dyDescent="0.15">
      <c r="A58" s="2">
        <v>11</v>
      </c>
      <c r="B58" s="1" t="s">
        <v>133</v>
      </c>
      <c r="C58" s="4">
        <v>78</v>
      </c>
      <c r="D58" s="8">
        <v>1.97</v>
      </c>
      <c r="E58" s="4">
        <v>19</v>
      </c>
      <c r="F58" s="8">
        <v>1.02</v>
      </c>
      <c r="G58" s="4">
        <v>59</v>
      </c>
      <c r="H58" s="8">
        <v>2.85</v>
      </c>
      <c r="I58" s="4">
        <v>0</v>
      </c>
    </row>
    <row r="59" spans="1:9" x14ac:dyDescent="0.15">
      <c r="A59" s="2">
        <v>12</v>
      </c>
      <c r="B59" s="1" t="s">
        <v>128</v>
      </c>
      <c r="C59" s="4">
        <v>77</v>
      </c>
      <c r="D59" s="8">
        <v>1.95</v>
      </c>
      <c r="E59" s="4">
        <v>44</v>
      </c>
      <c r="F59" s="8">
        <v>2.35</v>
      </c>
      <c r="G59" s="4">
        <v>33</v>
      </c>
      <c r="H59" s="8">
        <v>1.59</v>
      </c>
      <c r="I59" s="4">
        <v>0</v>
      </c>
    </row>
    <row r="60" spans="1:9" x14ac:dyDescent="0.15">
      <c r="A60" s="2">
        <v>12</v>
      </c>
      <c r="B60" s="1" t="s">
        <v>140</v>
      </c>
      <c r="C60" s="4">
        <v>77</v>
      </c>
      <c r="D60" s="8">
        <v>1.95</v>
      </c>
      <c r="E60" s="4">
        <v>65</v>
      </c>
      <c r="F60" s="8">
        <v>3.48</v>
      </c>
      <c r="G60" s="4">
        <v>12</v>
      </c>
      <c r="H60" s="8">
        <v>0.57999999999999996</v>
      </c>
      <c r="I60" s="4">
        <v>0</v>
      </c>
    </row>
    <row r="61" spans="1:9" x14ac:dyDescent="0.15">
      <c r="A61" s="2">
        <v>14</v>
      </c>
      <c r="B61" s="1" t="s">
        <v>142</v>
      </c>
      <c r="C61" s="4">
        <v>65</v>
      </c>
      <c r="D61" s="8">
        <v>1.64</v>
      </c>
      <c r="E61" s="4">
        <v>35</v>
      </c>
      <c r="F61" s="8">
        <v>1.87</v>
      </c>
      <c r="G61" s="4">
        <v>30</v>
      </c>
      <c r="H61" s="8">
        <v>1.45</v>
      </c>
      <c r="I61" s="4">
        <v>0</v>
      </c>
    </row>
    <row r="62" spans="1:9" x14ac:dyDescent="0.15">
      <c r="A62" s="2">
        <v>15</v>
      </c>
      <c r="B62" s="1" t="s">
        <v>126</v>
      </c>
      <c r="C62" s="4">
        <v>64</v>
      </c>
      <c r="D62" s="8">
        <v>1.62</v>
      </c>
      <c r="E62" s="4">
        <v>8</v>
      </c>
      <c r="F62" s="8">
        <v>0.43</v>
      </c>
      <c r="G62" s="4">
        <v>56</v>
      </c>
      <c r="H62" s="8">
        <v>2.71</v>
      </c>
      <c r="I62" s="4">
        <v>0</v>
      </c>
    </row>
    <row r="63" spans="1:9" x14ac:dyDescent="0.15">
      <c r="A63" s="2">
        <v>16</v>
      </c>
      <c r="B63" s="1" t="s">
        <v>146</v>
      </c>
      <c r="C63" s="4">
        <v>62</v>
      </c>
      <c r="D63" s="8">
        <v>1.57</v>
      </c>
      <c r="E63" s="4">
        <v>36</v>
      </c>
      <c r="F63" s="8">
        <v>1.93</v>
      </c>
      <c r="G63" s="4">
        <v>26</v>
      </c>
      <c r="H63" s="8">
        <v>1.26</v>
      </c>
      <c r="I63" s="4">
        <v>0</v>
      </c>
    </row>
    <row r="64" spans="1:9" x14ac:dyDescent="0.15">
      <c r="A64" s="2">
        <v>17</v>
      </c>
      <c r="B64" s="1" t="s">
        <v>147</v>
      </c>
      <c r="C64" s="4">
        <v>56</v>
      </c>
      <c r="D64" s="8">
        <v>1.42</v>
      </c>
      <c r="E64" s="4">
        <v>13</v>
      </c>
      <c r="F64" s="8">
        <v>0.7</v>
      </c>
      <c r="G64" s="4">
        <v>43</v>
      </c>
      <c r="H64" s="8">
        <v>2.08</v>
      </c>
      <c r="I64" s="4">
        <v>0</v>
      </c>
    </row>
    <row r="65" spans="1:9" x14ac:dyDescent="0.15">
      <c r="A65" s="2">
        <v>18</v>
      </c>
      <c r="B65" s="1" t="s">
        <v>129</v>
      </c>
      <c r="C65" s="4">
        <v>54</v>
      </c>
      <c r="D65" s="8">
        <v>1.37</v>
      </c>
      <c r="E65" s="4">
        <v>28</v>
      </c>
      <c r="F65" s="8">
        <v>1.5</v>
      </c>
      <c r="G65" s="4">
        <v>26</v>
      </c>
      <c r="H65" s="8">
        <v>1.26</v>
      </c>
      <c r="I65" s="4">
        <v>0</v>
      </c>
    </row>
    <row r="66" spans="1:9" x14ac:dyDescent="0.15">
      <c r="A66" s="2">
        <v>19</v>
      </c>
      <c r="B66" s="1" t="s">
        <v>137</v>
      </c>
      <c r="C66" s="4">
        <v>53</v>
      </c>
      <c r="D66" s="8">
        <v>1.34</v>
      </c>
      <c r="E66" s="4">
        <v>52</v>
      </c>
      <c r="F66" s="8">
        <v>2.78</v>
      </c>
      <c r="G66" s="4">
        <v>1</v>
      </c>
      <c r="H66" s="8">
        <v>0.05</v>
      </c>
      <c r="I66" s="4">
        <v>0</v>
      </c>
    </row>
    <row r="67" spans="1:9" x14ac:dyDescent="0.15">
      <c r="A67" s="2">
        <v>20</v>
      </c>
      <c r="B67" s="1" t="s">
        <v>152</v>
      </c>
      <c r="C67" s="4">
        <v>52</v>
      </c>
      <c r="D67" s="8">
        <v>1.32</v>
      </c>
      <c r="E67" s="4">
        <v>49</v>
      </c>
      <c r="F67" s="8">
        <v>2.62</v>
      </c>
      <c r="G67" s="4">
        <v>3</v>
      </c>
      <c r="H67" s="8">
        <v>0.14000000000000001</v>
      </c>
      <c r="I67" s="4">
        <v>0</v>
      </c>
    </row>
    <row r="68" spans="1:9" x14ac:dyDescent="0.15">
      <c r="A68" s="1"/>
      <c r="C68" s="4"/>
      <c r="D68" s="8"/>
      <c r="E68" s="4"/>
      <c r="F68" s="8"/>
      <c r="G68" s="4"/>
      <c r="H68" s="8"/>
      <c r="I68" s="4"/>
    </row>
    <row r="69" spans="1:9" x14ac:dyDescent="0.15">
      <c r="A69" s="1" t="s">
        <v>3</v>
      </c>
      <c r="C69" s="4"/>
      <c r="D69" s="8"/>
      <c r="E69" s="4"/>
      <c r="F69" s="8"/>
      <c r="G69" s="4"/>
      <c r="H69" s="8"/>
      <c r="I69" s="4"/>
    </row>
    <row r="70" spans="1:9" x14ac:dyDescent="0.15">
      <c r="A70" s="2">
        <v>1</v>
      </c>
      <c r="B70" s="1" t="s">
        <v>141</v>
      </c>
      <c r="C70" s="4">
        <v>167</v>
      </c>
      <c r="D70" s="8">
        <v>5.15</v>
      </c>
      <c r="E70" s="4">
        <v>152</v>
      </c>
      <c r="F70" s="8">
        <v>7.9</v>
      </c>
      <c r="G70" s="4">
        <v>15</v>
      </c>
      <c r="H70" s="8">
        <v>1.1399999999999999</v>
      </c>
      <c r="I70" s="4">
        <v>0</v>
      </c>
    </row>
    <row r="71" spans="1:9" x14ac:dyDescent="0.15">
      <c r="A71" s="2">
        <v>2</v>
      </c>
      <c r="B71" s="1" t="s">
        <v>134</v>
      </c>
      <c r="C71" s="4">
        <v>154</v>
      </c>
      <c r="D71" s="8">
        <v>4.75</v>
      </c>
      <c r="E71" s="4">
        <v>85</v>
      </c>
      <c r="F71" s="8">
        <v>4.42</v>
      </c>
      <c r="G71" s="4">
        <v>69</v>
      </c>
      <c r="H71" s="8">
        <v>5.23</v>
      </c>
      <c r="I71" s="4">
        <v>0</v>
      </c>
    </row>
    <row r="72" spans="1:9" x14ac:dyDescent="0.15">
      <c r="A72" s="2">
        <v>3</v>
      </c>
      <c r="B72" s="1" t="s">
        <v>135</v>
      </c>
      <c r="C72" s="4">
        <v>132</v>
      </c>
      <c r="D72" s="8">
        <v>4.07</v>
      </c>
      <c r="E72" s="4">
        <v>115</v>
      </c>
      <c r="F72" s="8">
        <v>5.97</v>
      </c>
      <c r="G72" s="4">
        <v>17</v>
      </c>
      <c r="H72" s="8">
        <v>1.29</v>
      </c>
      <c r="I72" s="4">
        <v>0</v>
      </c>
    </row>
    <row r="73" spans="1:9" x14ac:dyDescent="0.15">
      <c r="A73" s="2">
        <v>4</v>
      </c>
      <c r="B73" s="1" t="s">
        <v>136</v>
      </c>
      <c r="C73" s="4">
        <v>117</v>
      </c>
      <c r="D73" s="8">
        <v>3.61</v>
      </c>
      <c r="E73" s="4">
        <v>112</v>
      </c>
      <c r="F73" s="8">
        <v>5.82</v>
      </c>
      <c r="G73" s="4">
        <v>5</v>
      </c>
      <c r="H73" s="8">
        <v>0.38</v>
      </c>
      <c r="I73" s="4">
        <v>0</v>
      </c>
    </row>
    <row r="74" spans="1:9" x14ac:dyDescent="0.15">
      <c r="A74" s="2">
        <v>5</v>
      </c>
      <c r="B74" s="1" t="s">
        <v>144</v>
      </c>
      <c r="C74" s="4">
        <v>108</v>
      </c>
      <c r="D74" s="8">
        <v>3.33</v>
      </c>
      <c r="E74" s="4">
        <v>93</v>
      </c>
      <c r="F74" s="8">
        <v>4.83</v>
      </c>
      <c r="G74" s="4">
        <v>15</v>
      </c>
      <c r="H74" s="8">
        <v>1.1399999999999999</v>
      </c>
      <c r="I74" s="4">
        <v>0</v>
      </c>
    </row>
    <row r="75" spans="1:9" x14ac:dyDescent="0.15">
      <c r="A75" s="2">
        <v>6</v>
      </c>
      <c r="B75" s="1" t="s">
        <v>132</v>
      </c>
      <c r="C75" s="4">
        <v>106</v>
      </c>
      <c r="D75" s="8">
        <v>3.27</v>
      </c>
      <c r="E75" s="4">
        <v>79</v>
      </c>
      <c r="F75" s="8">
        <v>4.0999999999999996</v>
      </c>
      <c r="G75" s="4">
        <v>27</v>
      </c>
      <c r="H75" s="8">
        <v>2.0499999999999998</v>
      </c>
      <c r="I75" s="4">
        <v>0</v>
      </c>
    </row>
    <row r="76" spans="1:9" x14ac:dyDescent="0.15">
      <c r="A76" s="2">
        <v>7</v>
      </c>
      <c r="B76" s="1" t="s">
        <v>138</v>
      </c>
      <c r="C76" s="4">
        <v>100</v>
      </c>
      <c r="D76" s="8">
        <v>3.08</v>
      </c>
      <c r="E76" s="4">
        <v>94</v>
      </c>
      <c r="F76" s="8">
        <v>4.88</v>
      </c>
      <c r="G76" s="4">
        <v>6</v>
      </c>
      <c r="H76" s="8">
        <v>0.45</v>
      </c>
      <c r="I76" s="4">
        <v>0</v>
      </c>
    </row>
    <row r="77" spans="1:9" x14ac:dyDescent="0.15">
      <c r="A77" s="2">
        <v>8</v>
      </c>
      <c r="B77" s="1" t="s">
        <v>137</v>
      </c>
      <c r="C77" s="4">
        <v>92</v>
      </c>
      <c r="D77" s="8">
        <v>2.84</v>
      </c>
      <c r="E77" s="4">
        <v>92</v>
      </c>
      <c r="F77" s="8">
        <v>4.78</v>
      </c>
      <c r="G77" s="4">
        <v>0</v>
      </c>
      <c r="H77" s="8">
        <v>0</v>
      </c>
      <c r="I77" s="4">
        <v>0</v>
      </c>
    </row>
    <row r="78" spans="1:9" x14ac:dyDescent="0.15">
      <c r="A78" s="2">
        <v>9</v>
      </c>
      <c r="B78" s="1" t="s">
        <v>143</v>
      </c>
      <c r="C78" s="4">
        <v>90</v>
      </c>
      <c r="D78" s="8">
        <v>2.77</v>
      </c>
      <c r="E78" s="4">
        <v>68</v>
      </c>
      <c r="F78" s="8">
        <v>3.53</v>
      </c>
      <c r="G78" s="4">
        <v>22</v>
      </c>
      <c r="H78" s="8">
        <v>1.67</v>
      </c>
      <c r="I78" s="4">
        <v>0</v>
      </c>
    </row>
    <row r="79" spans="1:9" x14ac:dyDescent="0.15">
      <c r="A79" s="2">
        <v>10</v>
      </c>
      <c r="B79" s="1" t="s">
        <v>129</v>
      </c>
      <c r="C79" s="4">
        <v>83</v>
      </c>
      <c r="D79" s="8">
        <v>2.56</v>
      </c>
      <c r="E79" s="4">
        <v>61</v>
      </c>
      <c r="F79" s="8">
        <v>3.17</v>
      </c>
      <c r="G79" s="4">
        <v>22</v>
      </c>
      <c r="H79" s="8">
        <v>1.67</v>
      </c>
      <c r="I79" s="4">
        <v>0</v>
      </c>
    </row>
    <row r="80" spans="1:9" x14ac:dyDescent="0.15">
      <c r="A80" s="2">
        <v>11</v>
      </c>
      <c r="B80" s="1" t="s">
        <v>140</v>
      </c>
      <c r="C80" s="4">
        <v>79</v>
      </c>
      <c r="D80" s="8">
        <v>2.4300000000000002</v>
      </c>
      <c r="E80" s="4">
        <v>76</v>
      </c>
      <c r="F80" s="8">
        <v>3.95</v>
      </c>
      <c r="G80" s="4">
        <v>3</v>
      </c>
      <c r="H80" s="8">
        <v>0.23</v>
      </c>
      <c r="I80" s="4">
        <v>0</v>
      </c>
    </row>
    <row r="81" spans="1:9" x14ac:dyDescent="0.15">
      <c r="A81" s="2">
        <v>12</v>
      </c>
      <c r="B81" s="1" t="s">
        <v>133</v>
      </c>
      <c r="C81" s="4">
        <v>76</v>
      </c>
      <c r="D81" s="8">
        <v>2.34</v>
      </c>
      <c r="E81" s="4">
        <v>13</v>
      </c>
      <c r="F81" s="8">
        <v>0.68</v>
      </c>
      <c r="G81" s="4">
        <v>63</v>
      </c>
      <c r="H81" s="8">
        <v>4.78</v>
      </c>
      <c r="I81" s="4">
        <v>0</v>
      </c>
    </row>
    <row r="82" spans="1:9" x14ac:dyDescent="0.15">
      <c r="A82" s="2">
        <v>13</v>
      </c>
      <c r="B82" s="1" t="s">
        <v>128</v>
      </c>
      <c r="C82" s="4">
        <v>57</v>
      </c>
      <c r="D82" s="8">
        <v>1.76</v>
      </c>
      <c r="E82" s="4">
        <v>44</v>
      </c>
      <c r="F82" s="8">
        <v>2.29</v>
      </c>
      <c r="G82" s="4">
        <v>13</v>
      </c>
      <c r="H82" s="8">
        <v>0.99</v>
      </c>
      <c r="I82" s="4">
        <v>0</v>
      </c>
    </row>
    <row r="83" spans="1:9" x14ac:dyDescent="0.15">
      <c r="A83" s="2">
        <v>14</v>
      </c>
      <c r="B83" s="1" t="s">
        <v>139</v>
      </c>
      <c r="C83" s="4">
        <v>53</v>
      </c>
      <c r="D83" s="8">
        <v>1.63</v>
      </c>
      <c r="E83" s="4">
        <v>34</v>
      </c>
      <c r="F83" s="8">
        <v>1.77</v>
      </c>
      <c r="G83" s="4">
        <v>19</v>
      </c>
      <c r="H83" s="8">
        <v>1.44</v>
      </c>
      <c r="I83" s="4">
        <v>0</v>
      </c>
    </row>
    <row r="84" spans="1:9" x14ac:dyDescent="0.15">
      <c r="A84" s="2">
        <v>15</v>
      </c>
      <c r="B84" s="1" t="s">
        <v>151</v>
      </c>
      <c r="C84" s="4">
        <v>51</v>
      </c>
      <c r="D84" s="8">
        <v>1.57</v>
      </c>
      <c r="E84" s="4">
        <v>49</v>
      </c>
      <c r="F84" s="8">
        <v>2.5499999999999998</v>
      </c>
      <c r="G84" s="4">
        <v>2</v>
      </c>
      <c r="H84" s="8">
        <v>0.15</v>
      </c>
      <c r="I84" s="4">
        <v>0</v>
      </c>
    </row>
    <row r="85" spans="1:9" x14ac:dyDescent="0.15">
      <c r="A85" s="2">
        <v>16</v>
      </c>
      <c r="B85" s="1" t="s">
        <v>149</v>
      </c>
      <c r="C85" s="4">
        <v>50</v>
      </c>
      <c r="D85" s="8">
        <v>1.54</v>
      </c>
      <c r="E85" s="4">
        <v>3</v>
      </c>
      <c r="F85" s="8">
        <v>0.16</v>
      </c>
      <c r="G85" s="4">
        <v>47</v>
      </c>
      <c r="H85" s="8">
        <v>3.56</v>
      </c>
      <c r="I85" s="4">
        <v>0</v>
      </c>
    </row>
    <row r="86" spans="1:9" x14ac:dyDescent="0.15">
      <c r="A86" s="2">
        <v>17</v>
      </c>
      <c r="B86" s="1" t="s">
        <v>131</v>
      </c>
      <c r="C86" s="4">
        <v>47</v>
      </c>
      <c r="D86" s="8">
        <v>1.45</v>
      </c>
      <c r="E86" s="4">
        <v>27</v>
      </c>
      <c r="F86" s="8">
        <v>1.4</v>
      </c>
      <c r="G86" s="4">
        <v>20</v>
      </c>
      <c r="H86" s="8">
        <v>1.52</v>
      </c>
      <c r="I86" s="4">
        <v>0</v>
      </c>
    </row>
    <row r="87" spans="1:9" x14ac:dyDescent="0.15">
      <c r="A87" s="2">
        <v>18</v>
      </c>
      <c r="B87" s="1" t="s">
        <v>153</v>
      </c>
      <c r="C87" s="4">
        <v>46</v>
      </c>
      <c r="D87" s="8">
        <v>1.42</v>
      </c>
      <c r="E87" s="4">
        <v>10</v>
      </c>
      <c r="F87" s="8">
        <v>0.52</v>
      </c>
      <c r="G87" s="4">
        <v>36</v>
      </c>
      <c r="H87" s="8">
        <v>2.73</v>
      </c>
      <c r="I87" s="4">
        <v>0</v>
      </c>
    </row>
    <row r="88" spans="1:9" x14ac:dyDescent="0.15">
      <c r="A88" s="2">
        <v>18</v>
      </c>
      <c r="B88" s="1" t="s">
        <v>146</v>
      </c>
      <c r="C88" s="4">
        <v>46</v>
      </c>
      <c r="D88" s="8">
        <v>1.42</v>
      </c>
      <c r="E88" s="4">
        <v>31</v>
      </c>
      <c r="F88" s="8">
        <v>1.61</v>
      </c>
      <c r="G88" s="4">
        <v>15</v>
      </c>
      <c r="H88" s="8">
        <v>1.1399999999999999</v>
      </c>
      <c r="I88" s="4">
        <v>0</v>
      </c>
    </row>
    <row r="89" spans="1:9" x14ac:dyDescent="0.15">
      <c r="A89" s="2">
        <v>20</v>
      </c>
      <c r="B89" s="1" t="s">
        <v>130</v>
      </c>
      <c r="C89" s="4">
        <v>42</v>
      </c>
      <c r="D89" s="8">
        <v>1.29</v>
      </c>
      <c r="E89" s="4">
        <v>24</v>
      </c>
      <c r="F89" s="8">
        <v>1.25</v>
      </c>
      <c r="G89" s="4">
        <v>18</v>
      </c>
      <c r="H89" s="8">
        <v>1.36</v>
      </c>
      <c r="I89" s="4">
        <v>0</v>
      </c>
    </row>
    <row r="90" spans="1:9" x14ac:dyDescent="0.15">
      <c r="A90" s="1"/>
      <c r="C90" s="4"/>
      <c r="D90" s="8"/>
      <c r="E90" s="4"/>
      <c r="F90" s="8"/>
      <c r="G90" s="4"/>
      <c r="H90" s="8"/>
      <c r="I90" s="4"/>
    </row>
    <row r="91" spans="1:9" x14ac:dyDescent="0.15">
      <c r="A91" s="1" t="s">
        <v>4</v>
      </c>
      <c r="C91" s="4"/>
      <c r="D91" s="8"/>
      <c r="E91" s="4"/>
      <c r="F91" s="8"/>
      <c r="G91" s="4"/>
      <c r="H91" s="8"/>
      <c r="I91" s="4"/>
    </row>
    <row r="92" spans="1:9" x14ac:dyDescent="0.15">
      <c r="A92" s="2">
        <v>1</v>
      </c>
      <c r="B92" s="1" t="s">
        <v>138</v>
      </c>
      <c r="C92" s="4">
        <v>214</v>
      </c>
      <c r="D92" s="8">
        <v>4.9800000000000004</v>
      </c>
      <c r="E92" s="4">
        <v>209</v>
      </c>
      <c r="F92" s="8">
        <v>7.78</v>
      </c>
      <c r="G92" s="4">
        <v>5</v>
      </c>
      <c r="H92" s="8">
        <v>0.31</v>
      </c>
      <c r="I92" s="4">
        <v>0</v>
      </c>
    </row>
    <row r="93" spans="1:9" x14ac:dyDescent="0.15">
      <c r="A93" s="2">
        <v>2</v>
      </c>
      <c r="B93" s="1" t="s">
        <v>134</v>
      </c>
      <c r="C93" s="4">
        <v>198</v>
      </c>
      <c r="D93" s="8">
        <v>4.6100000000000003</v>
      </c>
      <c r="E93" s="4">
        <v>123</v>
      </c>
      <c r="F93" s="8">
        <v>4.58</v>
      </c>
      <c r="G93" s="4">
        <v>75</v>
      </c>
      <c r="H93" s="8">
        <v>4.68</v>
      </c>
      <c r="I93" s="4">
        <v>0</v>
      </c>
    </row>
    <row r="94" spans="1:9" x14ac:dyDescent="0.15">
      <c r="A94" s="2">
        <v>3</v>
      </c>
      <c r="B94" s="1" t="s">
        <v>136</v>
      </c>
      <c r="C94" s="4">
        <v>186</v>
      </c>
      <c r="D94" s="8">
        <v>4.33</v>
      </c>
      <c r="E94" s="4">
        <v>181</v>
      </c>
      <c r="F94" s="8">
        <v>6.74</v>
      </c>
      <c r="G94" s="4">
        <v>5</v>
      </c>
      <c r="H94" s="8">
        <v>0.31</v>
      </c>
      <c r="I94" s="4">
        <v>0</v>
      </c>
    </row>
    <row r="95" spans="1:9" x14ac:dyDescent="0.15">
      <c r="A95" s="2">
        <v>4</v>
      </c>
      <c r="B95" s="1" t="s">
        <v>135</v>
      </c>
      <c r="C95" s="4">
        <v>143</v>
      </c>
      <c r="D95" s="8">
        <v>3.33</v>
      </c>
      <c r="E95" s="4">
        <v>129</v>
      </c>
      <c r="F95" s="8">
        <v>4.8</v>
      </c>
      <c r="G95" s="4">
        <v>14</v>
      </c>
      <c r="H95" s="8">
        <v>0.87</v>
      </c>
      <c r="I95" s="4">
        <v>0</v>
      </c>
    </row>
    <row r="96" spans="1:9" x14ac:dyDescent="0.15">
      <c r="A96" s="2">
        <v>5</v>
      </c>
      <c r="B96" s="1" t="s">
        <v>132</v>
      </c>
      <c r="C96" s="4">
        <v>142</v>
      </c>
      <c r="D96" s="8">
        <v>3.31</v>
      </c>
      <c r="E96" s="4">
        <v>120</v>
      </c>
      <c r="F96" s="8">
        <v>4.47</v>
      </c>
      <c r="G96" s="4">
        <v>22</v>
      </c>
      <c r="H96" s="8">
        <v>1.37</v>
      </c>
      <c r="I96" s="4">
        <v>0</v>
      </c>
    </row>
    <row r="97" spans="1:9" x14ac:dyDescent="0.15">
      <c r="A97" s="2">
        <v>6</v>
      </c>
      <c r="B97" s="1" t="s">
        <v>141</v>
      </c>
      <c r="C97" s="4">
        <v>123</v>
      </c>
      <c r="D97" s="8">
        <v>2.86</v>
      </c>
      <c r="E97" s="4">
        <v>112</v>
      </c>
      <c r="F97" s="8">
        <v>4.17</v>
      </c>
      <c r="G97" s="4">
        <v>11</v>
      </c>
      <c r="H97" s="8">
        <v>0.69</v>
      </c>
      <c r="I97" s="4">
        <v>0</v>
      </c>
    </row>
    <row r="98" spans="1:9" x14ac:dyDescent="0.15">
      <c r="A98" s="2">
        <v>7</v>
      </c>
      <c r="B98" s="1" t="s">
        <v>129</v>
      </c>
      <c r="C98" s="4">
        <v>115</v>
      </c>
      <c r="D98" s="8">
        <v>2.68</v>
      </c>
      <c r="E98" s="4">
        <v>87</v>
      </c>
      <c r="F98" s="8">
        <v>3.24</v>
      </c>
      <c r="G98" s="4">
        <v>28</v>
      </c>
      <c r="H98" s="8">
        <v>1.75</v>
      </c>
      <c r="I98" s="4">
        <v>0</v>
      </c>
    </row>
    <row r="99" spans="1:9" x14ac:dyDescent="0.15">
      <c r="A99" s="2">
        <v>8</v>
      </c>
      <c r="B99" s="1" t="s">
        <v>137</v>
      </c>
      <c r="C99" s="4">
        <v>107</v>
      </c>
      <c r="D99" s="8">
        <v>2.4900000000000002</v>
      </c>
      <c r="E99" s="4">
        <v>105</v>
      </c>
      <c r="F99" s="8">
        <v>3.91</v>
      </c>
      <c r="G99" s="4">
        <v>2</v>
      </c>
      <c r="H99" s="8">
        <v>0.12</v>
      </c>
      <c r="I99" s="4">
        <v>0</v>
      </c>
    </row>
    <row r="100" spans="1:9" x14ac:dyDescent="0.15">
      <c r="A100" s="2">
        <v>9</v>
      </c>
      <c r="B100" s="1" t="s">
        <v>140</v>
      </c>
      <c r="C100" s="4">
        <v>98</v>
      </c>
      <c r="D100" s="8">
        <v>2.2799999999999998</v>
      </c>
      <c r="E100" s="4">
        <v>95</v>
      </c>
      <c r="F100" s="8">
        <v>3.54</v>
      </c>
      <c r="G100" s="4">
        <v>3</v>
      </c>
      <c r="H100" s="8">
        <v>0.19</v>
      </c>
      <c r="I100" s="4">
        <v>0</v>
      </c>
    </row>
    <row r="101" spans="1:9" x14ac:dyDescent="0.15">
      <c r="A101" s="2">
        <v>10</v>
      </c>
      <c r="B101" s="1" t="s">
        <v>151</v>
      </c>
      <c r="C101" s="4">
        <v>96</v>
      </c>
      <c r="D101" s="8">
        <v>2.23</v>
      </c>
      <c r="E101" s="4">
        <v>92</v>
      </c>
      <c r="F101" s="8">
        <v>3.42</v>
      </c>
      <c r="G101" s="4">
        <v>4</v>
      </c>
      <c r="H101" s="8">
        <v>0.25</v>
      </c>
      <c r="I101" s="4">
        <v>0</v>
      </c>
    </row>
    <row r="102" spans="1:9" x14ac:dyDescent="0.15">
      <c r="A102" s="2">
        <v>11</v>
      </c>
      <c r="B102" s="1" t="s">
        <v>144</v>
      </c>
      <c r="C102" s="4">
        <v>89</v>
      </c>
      <c r="D102" s="8">
        <v>2.0699999999999998</v>
      </c>
      <c r="E102" s="4">
        <v>80</v>
      </c>
      <c r="F102" s="8">
        <v>2.98</v>
      </c>
      <c r="G102" s="4">
        <v>9</v>
      </c>
      <c r="H102" s="8">
        <v>0.56000000000000005</v>
      </c>
      <c r="I102" s="4">
        <v>0</v>
      </c>
    </row>
    <row r="103" spans="1:9" x14ac:dyDescent="0.15">
      <c r="A103" s="2">
        <v>12</v>
      </c>
      <c r="B103" s="1" t="s">
        <v>155</v>
      </c>
      <c r="C103" s="4">
        <v>83</v>
      </c>
      <c r="D103" s="8">
        <v>1.93</v>
      </c>
      <c r="E103" s="4">
        <v>69</v>
      </c>
      <c r="F103" s="8">
        <v>2.57</v>
      </c>
      <c r="G103" s="4">
        <v>14</v>
      </c>
      <c r="H103" s="8">
        <v>0.87</v>
      </c>
      <c r="I103" s="4">
        <v>0</v>
      </c>
    </row>
    <row r="104" spans="1:9" x14ac:dyDescent="0.15">
      <c r="A104" s="2">
        <v>13</v>
      </c>
      <c r="B104" s="1" t="s">
        <v>139</v>
      </c>
      <c r="C104" s="4">
        <v>77</v>
      </c>
      <c r="D104" s="8">
        <v>1.79</v>
      </c>
      <c r="E104" s="4">
        <v>60</v>
      </c>
      <c r="F104" s="8">
        <v>2.23</v>
      </c>
      <c r="G104" s="4">
        <v>17</v>
      </c>
      <c r="H104" s="8">
        <v>1.06</v>
      </c>
      <c r="I104" s="4">
        <v>0</v>
      </c>
    </row>
    <row r="105" spans="1:9" x14ac:dyDescent="0.15">
      <c r="A105" s="2">
        <v>14</v>
      </c>
      <c r="B105" s="1" t="s">
        <v>148</v>
      </c>
      <c r="C105" s="4">
        <v>70</v>
      </c>
      <c r="D105" s="8">
        <v>1.63</v>
      </c>
      <c r="E105" s="4">
        <v>58</v>
      </c>
      <c r="F105" s="8">
        <v>2.16</v>
      </c>
      <c r="G105" s="4">
        <v>12</v>
      </c>
      <c r="H105" s="8">
        <v>0.75</v>
      </c>
      <c r="I105" s="4">
        <v>0</v>
      </c>
    </row>
    <row r="106" spans="1:9" x14ac:dyDescent="0.15">
      <c r="A106" s="2">
        <v>15</v>
      </c>
      <c r="B106" s="1" t="s">
        <v>133</v>
      </c>
      <c r="C106" s="4">
        <v>59</v>
      </c>
      <c r="D106" s="8">
        <v>1.37</v>
      </c>
      <c r="E106" s="4">
        <v>12</v>
      </c>
      <c r="F106" s="8">
        <v>0.45</v>
      </c>
      <c r="G106" s="4">
        <v>47</v>
      </c>
      <c r="H106" s="8">
        <v>2.93</v>
      </c>
      <c r="I106" s="4">
        <v>0</v>
      </c>
    </row>
    <row r="107" spans="1:9" x14ac:dyDescent="0.15">
      <c r="A107" s="2">
        <v>16</v>
      </c>
      <c r="B107" s="1" t="s">
        <v>127</v>
      </c>
      <c r="C107" s="4">
        <v>57</v>
      </c>
      <c r="D107" s="8">
        <v>1.33</v>
      </c>
      <c r="E107" s="4">
        <v>18</v>
      </c>
      <c r="F107" s="8">
        <v>0.67</v>
      </c>
      <c r="G107" s="4">
        <v>39</v>
      </c>
      <c r="H107" s="8">
        <v>2.4300000000000002</v>
      </c>
      <c r="I107" s="4">
        <v>0</v>
      </c>
    </row>
    <row r="108" spans="1:9" x14ac:dyDescent="0.15">
      <c r="A108" s="2">
        <v>17</v>
      </c>
      <c r="B108" s="1" t="s">
        <v>126</v>
      </c>
      <c r="C108" s="4">
        <v>56</v>
      </c>
      <c r="D108" s="8">
        <v>1.3</v>
      </c>
      <c r="E108" s="4">
        <v>11</v>
      </c>
      <c r="F108" s="8">
        <v>0.41</v>
      </c>
      <c r="G108" s="4">
        <v>45</v>
      </c>
      <c r="H108" s="8">
        <v>2.81</v>
      </c>
      <c r="I108" s="4">
        <v>0</v>
      </c>
    </row>
    <row r="109" spans="1:9" x14ac:dyDescent="0.15">
      <c r="A109" s="2">
        <v>18</v>
      </c>
      <c r="B109" s="1" t="s">
        <v>128</v>
      </c>
      <c r="C109" s="4">
        <v>54</v>
      </c>
      <c r="D109" s="8">
        <v>1.26</v>
      </c>
      <c r="E109" s="4">
        <v>39</v>
      </c>
      <c r="F109" s="8">
        <v>1.45</v>
      </c>
      <c r="G109" s="4">
        <v>15</v>
      </c>
      <c r="H109" s="8">
        <v>0.94</v>
      </c>
      <c r="I109" s="4">
        <v>0</v>
      </c>
    </row>
    <row r="110" spans="1:9" x14ac:dyDescent="0.15">
      <c r="A110" s="2">
        <v>19</v>
      </c>
      <c r="B110" s="1" t="s">
        <v>154</v>
      </c>
      <c r="C110" s="4">
        <v>52</v>
      </c>
      <c r="D110" s="8">
        <v>1.21</v>
      </c>
      <c r="E110" s="4">
        <v>17</v>
      </c>
      <c r="F110" s="8">
        <v>0.63</v>
      </c>
      <c r="G110" s="4">
        <v>35</v>
      </c>
      <c r="H110" s="8">
        <v>2.1800000000000002</v>
      </c>
      <c r="I110" s="4">
        <v>0</v>
      </c>
    </row>
    <row r="111" spans="1:9" x14ac:dyDescent="0.15">
      <c r="A111" s="2">
        <v>20</v>
      </c>
      <c r="B111" s="1" t="s">
        <v>131</v>
      </c>
      <c r="C111" s="4">
        <v>51</v>
      </c>
      <c r="D111" s="8">
        <v>1.19</v>
      </c>
      <c r="E111" s="4">
        <v>22</v>
      </c>
      <c r="F111" s="8">
        <v>0.82</v>
      </c>
      <c r="G111" s="4">
        <v>29</v>
      </c>
      <c r="H111" s="8">
        <v>1.81</v>
      </c>
      <c r="I111" s="4">
        <v>0</v>
      </c>
    </row>
    <row r="112" spans="1:9" x14ac:dyDescent="0.15">
      <c r="A112" s="1"/>
      <c r="C112" s="4"/>
      <c r="D112" s="8"/>
      <c r="E112" s="4"/>
      <c r="F112" s="8"/>
      <c r="G112" s="4"/>
      <c r="H112" s="8"/>
      <c r="I112" s="4"/>
    </row>
    <row r="113" spans="1:9" x14ac:dyDescent="0.15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15">
      <c r="A114" s="2">
        <v>1</v>
      </c>
      <c r="B114" s="1" t="s">
        <v>156</v>
      </c>
      <c r="C114" s="4">
        <v>199</v>
      </c>
      <c r="D114" s="8">
        <v>5.37</v>
      </c>
      <c r="E114" s="4">
        <v>182</v>
      </c>
      <c r="F114" s="8">
        <v>7.39</v>
      </c>
      <c r="G114" s="4">
        <v>17</v>
      </c>
      <c r="H114" s="8">
        <v>1.37</v>
      </c>
      <c r="I114" s="4">
        <v>0</v>
      </c>
    </row>
    <row r="115" spans="1:9" x14ac:dyDescent="0.15">
      <c r="A115" s="2">
        <v>2</v>
      </c>
      <c r="B115" s="1" t="s">
        <v>138</v>
      </c>
      <c r="C115" s="4">
        <v>196</v>
      </c>
      <c r="D115" s="8">
        <v>5.29</v>
      </c>
      <c r="E115" s="4">
        <v>186</v>
      </c>
      <c r="F115" s="8">
        <v>7.55</v>
      </c>
      <c r="G115" s="4">
        <v>10</v>
      </c>
      <c r="H115" s="8">
        <v>0.81</v>
      </c>
      <c r="I115" s="4">
        <v>0</v>
      </c>
    </row>
    <row r="116" spans="1:9" x14ac:dyDescent="0.15">
      <c r="A116" s="2">
        <v>3</v>
      </c>
      <c r="B116" s="1" t="s">
        <v>141</v>
      </c>
      <c r="C116" s="4">
        <v>119</v>
      </c>
      <c r="D116" s="8">
        <v>3.21</v>
      </c>
      <c r="E116" s="4">
        <v>114</v>
      </c>
      <c r="F116" s="8">
        <v>4.63</v>
      </c>
      <c r="G116" s="4">
        <v>5</v>
      </c>
      <c r="H116" s="8">
        <v>0.4</v>
      </c>
      <c r="I116" s="4">
        <v>0</v>
      </c>
    </row>
    <row r="117" spans="1:9" x14ac:dyDescent="0.15">
      <c r="A117" s="2">
        <v>4</v>
      </c>
      <c r="B117" s="1" t="s">
        <v>136</v>
      </c>
      <c r="C117" s="4">
        <v>113</v>
      </c>
      <c r="D117" s="8">
        <v>3.05</v>
      </c>
      <c r="E117" s="4">
        <v>110</v>
      </c>
      <c r="F117" s="8">
        <v>4.47</v>
      </c>
      <c r="G117" s="4">
        <v>3</v>
      </c>
      <c r="H117" s="8">
        <v>0.24</v>
      </c>
      <c r="I117" s="4">
        <v>0</v>
      </c>
    </row>
    <row r="118" spans="1:9" x14ac:dyDescent="0.15">
      <c r="A118" s="2">
        <v>5</v>
      </c>
      <c r="B118" s="1" t="s">
        <v>129</v>
      </c>
      <c r="C118" s="4">
        <v>99</v>
      </c>
      <c r="D118" s="8">
        <v>2.67</v>
      </c>
      <c r="E118" s="4">
        <v>77</v>
      </c>
      <c r="F118" s="8">
        <v>3.13</v>
      </c>
      <c r="G118" s="4">
        <v>22</v>
      </c>
      <c r="H118" s="8">
        <v>1.77</v>
      </c>
      <c r="I118" s="4">
        <v>0</v>
      </c>
    </row>
    <row r="119" spans="1:9" x14ac:dyDescent="0.15">
      <c r="A119" s="2">
        <v>5</v>
      </c>
      <c r="B119" s="1" t="s">
        <v>135</v>
      </c>
      <c r="C119" s="4">
        <v>99</v>
      </c>
      <c r="D119" s="8">
        <v>2.67</v>
      </c>
      <c r="E119" s="4">
        <v>90</v>
      </c>
      <c r="F119" s="8">
        <v>3.66</v>
      </c>
      <c r="G119" s="4">
        <v>9</v>
      </c>
      <c r="H119" s="8">
        <v>0.73</v>
      </c>
      <c r="I119" s="4">
        <v>0</v>
      </c>
    </row>
    <row r="120" spans="1:9" x14ac:dyDescent="0.15">
      <c r="A120" s="2">
        <v>7</v>
      </c>
      <c r="B120" s="1" t="s">
        <v>151</v>
      </c>
      <c r="C120" s="4">
        <v>97</v>
      </c>
      <c r="D120" s="8">
        <v>2.62</v>
      </c>
      <c r="E120" s="4">
        <v>93</v>
      </c>
      <c r="F120" s="8">
        <v>3.78</v>
      </c>
      <c r="G120" s="4">
        <v>4</v>
      </c>
      <c r="H120" s="8">
        <v>0.32</v>
      </c>
      <c r="I120" s="4">
        <v>0</v>
      </c>
    </row>
    <row r="121" spans="1:9" x14ac:dyDescent="0.15">
      <c r="A121" s="2">
        <v>8</v>
      </c>
      <c r="B121" s="1" t="s">
        <v>134</v>
      </c>
      <c r="C121" s="4">
        <v>86</v>
      </c>
      <c r="D121" s="8">
        <v>2.3199999999999998</v>
      </c>
      <c r="E121" s="4">
        <v>54</v>
      </c>
      <c r="F121" s="8">
        <v>2.19</v>
      </c>
      <c r="G121" s="4">
        <v>32</v>
      </c>
      <c r="H121" s="8">
        <v>2.58</v>
      </c>
      <c r="I121" s="4">
        <v>0</v>
      </c>
    </row>
    <row r="122" spans="1:9" x14ac:dyDescent="0.15">
      <c r="A122" s="2">
        <v>9</v>
      </c>
      <c r="B122" s="1" t="s">
        <v>132</v>
      </c>
      <c r="C122" s="4">
        <v>85</v>
      </c>
      <c r="D122" s="8">
        <v>2.29</v>
      </c>
      <c r="E122" s="4">
        <v>62</v>
      </c>
      <c r="F122" s="8">
        <v>2.52</v>
      </c>
      <c r="G122" s="4">
        <v>23</v>
      </c>
      <c r="H122" s="8">
        <v>1.85</v>
      </c>
      <c r="I122" s="4">
        <v>0</v>
      </c>
    </row>
    <row r="123" spans="1:9" x14ac:dyDescent="0.15">
      <c r="A123" s="2">
        <v>10</v>
      </c>
      <c r="B123" s="1" t="s">
        <v>140</v>
      </c>
      <c r="C123" s="4">
        <v>76</v>
      </c>
      <c r="D123" s="8">
        <v>2.0499999999999998</v>
      </c>
      <c r="E123" s="4">
        <v>76</v>
      </c>
      <c r="F123" s="8">
        <v>3.09</v>
      </c>
      <c r="G123" s="4">
        <v>0</v>
      </c>
      <c r="H123" s="8">
        <v>0</v>
      </c>
      <c r="I123" s="4">
        <v>0</v>
      </c>
    </row>
    <row r="124" spans="1:9" x14ac:dyDescent="0.15">
      <c r="A124" s="2">
        <v>11</v>
      </c>
      <c r="B124" s="1" t="s">
        <v>157</v>
      </c>
      <c r="C124" s="4">
        <v>73</v>
      </c>
      <c r="D124" s="8">
        <v>1.97</v>
      </c>
      <c r="E124" s="4">
        <v>58</v>
      </c>
      <c r="F124" s="8">
        <v>2.36</v>
      </c>
      <c r="G124" s="4">
        <v>15</v>
      </c>
      <c r="H124" s="8">
        <v>1.21</v>
      </c>
      <c r="I124" s="4">
        <v>0</v>
      </c>
    </row>
    <row r="125" spans="1:9" x14ac:dyDescent="0.15">
      <c r="A125" s="2">
        <v>11</v>
      </c>
      <c r="B125" s="1" t="s">
        <v>148</v>
      </c>
      <c r="C125" s="4">
        <v>73</v>
      </c>
      <c r="D125" s="8">
        <v>1.97</v>
      </c>
      <c r="E125" s="4">
        <v>55</v>
      </c>
      <c r="F125" s="8">
        <v>2.23</v>
      </c>
      <c r="G125" s="4">
        <v>17</v>
      </c>
      <c r="H125" s="8">
        <v>1.37</v>
      </c>
      <c r="I125" s="4">
        <v>1</v>
      </c>
    </row>
    <row r="126" spans="1:9" x14ac:dyDescent="0.15">
      <c r="A126" s="2">
        <v>13</v>
      </c>
      <c r="B126" s="1" t="s">
        <v>144</v>
      </c>
      <c r="C126" s="4">
        <v>71</v>
      </c>
      <c r="D126" s="8">
        <v>1.92</v>
      </c>
      <c r="E126" s="4">
        <v>67</v>
      </c>
      <c r="F126" s="8">
        <v>2.72</v>
      </c>
      <c r="G126" s="4">
        <v>4</v>
      </c>
      <c r="H126" s="8">
        <v>0.32</v>
      </c>
      <c r="I126" s="4">
        <v>0</v>
      </c>
    </row>
    <row r="127" spans="1:9" x14ac:dyDescent="0.15">
      <c r="A127" s="2">
        <v>14</v>
      </c>
      <c r="B127" s="1" t="s">
        <v>158</v>
      </c>
      <c r="C127" s="4">
        <v>67</v>
      </c>
      <c r="D127" s="8">
        <v>1.81</v>
      </c>
      <c r="E127" s="4">
        <v>36</v>
      </c>
      <c r="F127" s="8">
        <v>1.46</v>
      </c>
      <c r="G127" s="4">
        <v>31</v>
      </c>
      <c r="H127" s="8">
        <v>2.5</v>
      </c>
      <c r="I127" s="4">
        <v>0</v>
      </c>
    </row>
    <row r="128" spans="1:9" x14ac:dyDescent="0.15">
      <c r="A128" s="2">
        <v>15</v>
      </c>
      <c r="B128" s="1" t="s">
        <v>139</v>
      </c>
      <c r="C128" s="4">
        <v>64</v>
      </c>
      <c r="D128" s="8">
        <v>1.73</v>
      </c>
      <c r="E128" s="4">
        <v>51</v>
      </c>
      <c r="F128" s="8">
        <v>2.0699999999999998</v>
      </c>
      <c r="G128" s="4">
        <v>13</v>
      </c>
      <c r="H128" s="8">
        <v>1.05</v>
      </c>
      <c r="I128" s="4">
        <v>0</v>
      </c>
    </row>
    <row r="129" spans="1:9" x14ac:dyDescent="0.15">
      <c r="A129" s="2">
        <v>16</v>
      </c>
      <c r="B129" s="1" t="s">
        <v>155</v>
      </c>
      <c r="C129" s="4">
        <v>61</v>
      </c>
      <c r="D129" s="8">
        <v>1.65</v>
      </c>
      <c r="E129" s="4">
        <v>53</v>
      </c>
      <c r="F129" s="8">
        <v>2.15</v>
      </c>
      <c r="G129" s="4">
        <v>8</v>
      </c>
      <c r="H129" s="8">
        <v>0.65</v>
      </c>
      <c r="I129" s="4">
        <v>0</v>
      </c>
    </row>
    <row r="130" spans="1:9" x14ac:dyDescent="0.15">
      <c r="A130" s="2">
        <v>17</v>
      </c>
      <c r="B130" s="1" t="s">
        <v>137</v>
      </c>
      <c r="C130" s="4">
        <v>48</v>
      </c>
      <c r="D130" s="8">
        <v>1.3</v>
      </c>
      <c r="E130" s="4">
        <v>48</v>
      </c>
      <c r="F130" s="8">
        <v>1.95</v>
      </c>
      <c r="G130" s="4">
        <v>0</v>
      </c>
      <c r="H130" s="8">
        <v>0</v>
      </c>
      <c r="I130" s="4">
        <v>0</v>
      </c>
    </row>
    <row r="131" spans="1:9" x14ac:dyDescent="0.15">
      <c r="A131" s="2">
        <v>18</v>
      </c>
      <c r="B131" s="1" t="s">
        <v>159</v>
      </c>
      <c r="C131" s="4">
        <v>47</v>
      </c>
      <c r="D131" s="8">
        <v>1.27</v>
      </c>
      <c r="E131" s="4">
        <v>24</v>
      </c>
      <c r="F131" s="8">
        <v>0.97</v>
      </c>
      <c r="G131" s="4">
        <v>23</v>
      </c>
      <c r="H131" s="8">
        <v>1.85</v>
      </c>
      <c r="I131" s="4">
        <v>0</v>
      </c>
    </row>
    <row r="132" spans="1:9" x14ac:dyDescent="0.15">
      <c r="A132" s="2">
        <v>19</v>
      </c>
      <c r="B132" s="1" t="s">
        <v>127</v>
      </c>
      <c r="C132" s="4">
        <v>45</v>
      </c>
      <c r="D132" s="8">
        <v>1.21</v>
      </c>
      <c r="E132" s="4">
        <v>15</v>
      </c>
      <c r="F132" s="8">
        <v>0.61</v>
      </c>
      <c r="G132" s="4">
        <v>30</v>
      </c>
      <c r="H132" s="8">
        <v>2.42</v>
      </c>
      <c r="I132" s="4">
        <v>0</v>
      </c>
    </row>
    <row r="133" spans="1:9" x14ac:dyDescent="0.15">
      <c r="A133" s="2">
        <v>20</v>
      </c>
      <c r="B133" s="1" t="s">
        <v>131</v>
      </c>
      <c r="C133" s="4">
        <v>44</v>
      </c>
      <c r="D133" s="8">
        <v>1.19</v>
      </c>
      <c r="E133" s="4">
        <v>21</v>
      </c>
      <c r="F133" s="8">
        <v>0.85</v>
      </c>
      <c r="G133" s="4">
        <v>23</v>
      </c>
      <c r="H133" s="8">
        <v>1.85</v>
      </c>
      <c r="I133" s="4">
        <v>0</v>
      </c>
    </row>
    <row r="134" spans="1:9" x14ac:dyDescent="0.15">
      <c r="A134" s="1"/>
      <c r="C134" s="4"/>
      <c r="D134" s="8"/>
      <c r="E134" s="4"/>
      <c r="F134" s="8"/>
      <c r="G134" s="4"/>
      <c r="H134" s="8"/>
      <c r="I134" s="4"/>
    </row>
    <row r="135" spans="1:9" x14ac:dyDescent="0.15">
      <c r="A135" s="1" t="s">
        <v>6</v>
      </c>
      <c r="C135" s="4"/>
      <c r="D135" s="8"/>
      <c r="E135" s="4"/>
      <c r="F135" s="8"/>
      <c r="G135" s="4"/>
      <c r="H135" s="8"/>
      <c r="I135" s="4"/>
    </row>
    <row r="136" spans="1:9" x14ac:dyDescent="0.15">
      <c r="A136" s="2">
        <v>1</v>
      </c>
      <c r="B136" s="1" t="s">
        <v>141</v>
      </c>
      <c r="C136" s="4">
        <v>112</v>
      </c>
      <c r="D136" s="8">
        <v>4.6900000000000004</v>
      </c>
      <c r="E136" s="4">
        <v>95</v>
      </c>
      <c r="F136" s="8">
        <v>7.03</v>
      </c>
      <c r="G136" s="4">
        <v>17</v>
      </c>
      <c r="H136" s="8">
        <v>1.65</v>
      </c>
      <c r="I136" s="4">
        <v>0</v>
      </c>
    </row>
    <row r="137" spans="1:9" x14ac:dyDescent="0.15">
      <c r="A137" s="2">
        <v>2</v>
      </c>
      <c r="B137" s="1" t="s">
        <v>138</v>
      </c>
      <c r="C137" s="4">
        <v>104</v>
      </c>
      <c r="D137" s="8">
        <v>4.3600000000000003</v>
      </c>
      <c r="E137" s="4">
        <v>98</v>
      </c>
      <c r="F137" s="8">
        <v>7.25</v>
      </c>
      <c r="G137" s="4">
        <v>6</v>
      </c>
      <c r="H137" s="8">
        <v>0.57999999999999996</v>
      </c>
      <c r="I137" s="4">
        <v>0</v>
      </c>
    </row>
    <row r="138" spans="1:9" x14ac:dyDescent="0.15">
      <c r="A138" s="2">
        <v>3</v>
      </c>
      <c r="B138" s="1" t="s">
        <v>134</v>
      </c>
      <c r="C138" s="4">
        <v>98</v>
      </c>
      <c r="D138" s="8">
        <v>4.0999999999999996</v>
      </c>
      <c r="E138" s="4">
        <v>43</v>
      </c>
      <c r="F138" s="8">
        <v>3.18</v>
      </c>
      <c r="G138" s="4">
        <v>55</v>
      </c>
      <c r="H138" s="8">
        <v>5.33</v>
      </c>
      <c r="I138" s="4">
        <v>0</v>
      </c>
    </row>
    <row r="139" spans="1:9" x14ac:dyDescent="0.15">
      <c r="A139" s="2">
        <v>4</v>
      </c>
      <c r="B139" s="1" t="s">
        <v>135</v>
      </c>
      <c r="C139" s="4">
        <v>72</v>
      </c>
      <c r="D139" s="8">
        <v>3.02</v>
      </c>
      <c r="E139" s="4">
        <v>65</v>
      </c>
      <c r="F139" s="8">
        <v>4.8099999999999996</v>
      </c>
      <c r="G139" s="4">
        <v>7</v>
      </c>
      <c r="H139" s="8">
        <v>0.68</v>
      </c>
      <c r="I139" s="4">
        <v>0</v>
      </c>
    </row>
    <row r="140" spans="1:9" x14ac:dyDescent="0.15">
      <c r="A140" s="2">
        <v>5</v>
      </c>
      <c r="B140" s="1" t="s">
        <v>140</v>
      </c>
      <c r="C140" s="4">
        <v>63</v>
      </c>
      <c r="D140" s="8">
        <v>2.64</v>
      </c>
      <c r="E140" s="4">
        <v>56</v>
      </c>
      <c r="F140" s="8">
        <v>4.1399999999999997</v>
      </c>
      <c r="G140" s="4">
        <v>7</v>
      </c>
      <c r="H140" s="8">
        <v>0.68</v>
      </c>
      <c r="I140" s="4">
        <v>0</v>
      </c>
    </row>
    <row r="141" spans="1:9" x14ac:dyDescent="0.15">
      <c r="A141" s="2">
        <v>6</v>
      </c>
      <c r="B141" s="1" t="s">
        <v>143</v>
      </c>
      <c r="C141" s="4">
        <v>62</v>
      </c>
      <c r="D141" s="8">
        <v>2.6</v>
      </c>
      <c r="E141" s="4">
        <v>49</v>
      </c>
      <c r="F141" s="8">
        <v>3.62</v>
      </c>
      <c r="G141" s="4">
        <v>12</v>
      </c>
      <c r="H141" s="8">
        <v>1.1599999999999999</v>
      </c>
      <c r="I141" s="4">
        <v>1</v>
      </c>
    </row>
    <row r="142" spans="1:9" x14ac:dyDescent="0.15">
      <c r="A142" s="2">
        <v>7</v>
      </c>
      <c r="B142" s="1" t="s">
        <v>136</v>
      </c>
      <c r="C142" s="4">
        <v>60</v>
      </c>
      <c r="D142" s="8">
        <v>2.5099999999999998</v>
      </c>
      <c r="E142" s="4">
        <v>57</v>
      </c>
      <c r="F142" s="8">
        <v>4.22</v>
      </c>
      <c r="G142" s="4">
        <v>3</v>
      </c>
      <c r="H142" s="8">
        <v>0.28999999999999998</v>
      </c>
      <c r="I142" s="4">
        <v>0</v>
      </c>
    </row>
    <row r="143" spans="1:9" x14ac:dyDescent="0.15">
      <c r="A143" s="2">
        <v>8</v>
      </c>
      <c r="B143" s="1" t="s">
        <v>144</v>
      </c>
      <c r="C143" s="4">
        <v>59</v>
      </c>
      <c r="D143" s="8">
        <v>2.4700000000000002</v>
      </c>
      <c r="E143" s="4">
        <v>55</v>
      </c>
      <c r="F143" s="8">
        <v>4.07</v>
      </c>
      <c r="G143" s="4">
        <v>4</v>
      </c>
      <c r="H143" s="8">
        <v>0.39</v>
      </c>
      <c r="I143" s="4">
        <v>0</v>
      </c>
    </row>
    <row r="144" spans="1:9" x14ac:dyDescent="0.15">
      <c r="A144" s="2">
        <v>9</v>
      </c>
      <c r="B144" s="1" t="s">
        <v>129</v>
      </c>
      <c r="C144" s="4">
        <v>55</v>
      </c>
      <c r="D144" s="8">
        <v>2.2999999999999998</v>
      </c>
      <c r="E144" s="4">
        <v>32</v>
      </c>
      <c r="F144" s="8">
        <v>2.37</v>
      </c>
      <c r="G144" s="4">
        <v>23</v>
      </c>
      <c r="H144" s="8">
        <v>2.23</v>
      </c>
      <c r="I144" s="4">
        <v>0</v>
      </c>
    </row>
    <row r="145" spans="1:9" x14ac:dyDescent="0.15">
      <c r="A145" s="2">
        <v>10</v>
      </c>
      <c r="B145" s="1" t="s">
        <v>133</v>
      </c>
      <c r="C145" s="4">
        <v>54</v>
      </c>
      <c r="D145" s="8">
        <v>2.2599999999999998</v>
      </c>
      <c r="E145" s="4">
        <v>16</v>
      </c>
      <c r="F145" s="8">
        <v>1.18</v>
      </c>
      <c r="G145" s="4">
        <v>38</v>
      </c>
      <c r="H145" s="8">
        <v>3.69</v>
      </c>
      <c r="I145" s="4">
        <v>0</v>
      </c>
    </row>
    <row r="146" spans="1:9" x14ac:dyDescent="0.15">
      <c r="A146" s="2">
        <v>11</v>
      </c>
      <c r="B146" s="1" t="s">
        <v>132</v>
      </c>
      <c r="C146" s="4">
        <v>51</v>
      </c>
      <c r="D146" s="8">
        <v>2.14</v>
      </c>
      <c r="E146" s="4">
        <v>33</v>
      </c>
      <c r="F146" s="8">
        <v>2.44</v>
      </c>
      <c r="G146" s="4">
        <v>18</v>
      </c>
      <c r="H146" s="8">
        <v>1.75</v>
      </c>
      <c r="I146" s="4">
        <v>0</v>
      </c>
    </row>
    <row r="147" spans="1:9" x14ac:dyDescent="0.15">
      <c r="A147" s="2">
        <v>11</v>
      </c>
      <c r="B147" s="1" t="s">
        <v>139</v>
      </c>
      <c r="C147" s="4">
        <v>51</v>
      </c>
      <c r="D147" s="8">
        <v>2.14</v>
      </c>
      <c r="E147" s="4">
        <v>32</v>
      </c>
      <c r="F147" s="8">
        <v>2.37</v>
      </c>
      <c r="G147" s="4">
        <v>19</v>
      </c>
      <c r="H147" s="8">
        <v>1.84</v>
      </c>
      <c r="I147" s="4">
        <v>0</v>
      </c>
    </row>
    <row r="148" spans="1:9" x14ac:dyDescent="0.15">
      <c r="A148" s="2">
        <v>13</v>
      </c>
      <c r="B148" s="1" t="s">
        <v>149</v>
      </c>
      <c r="C148" s="4">
        <v>39</v>
      </c>
      <c r="D148" s="8">
        <v>1.63</v>
      </c>
      <c r="E148" s="4">
        <v>5</v>
      </c>
      <c r="F148" s="8">
        <v>0.37</v>
      </c>
      <c r="G148" s="4">
        <v>34</v>
      </c>
      <c r="H148" s="8">
        <v>3.3</v>
      </c>
      <c r="I148" s="4">
        <v>0</v>
      </c>
    </row>
    <row r="149" spans="1:9" x14ac:dyDescent="0.15">
      <c r="A149" s="2">
        <v>14</v>
      </c>
      <c r="B149" s="1" t="s">
        <v>128</v>
      </c>
      <c r="C149" s="4">
        <v>38</v>
      </c>
      <c r="D149" s="8">
        <v>1.59</v>
      </c>
      <c r="E149" s="4">
        <v>18</v>
      </c>
      <c r="F149" s="8">
        <v>1.33</v>
      </c>
      <c r="G149" s="4">
        <v>20</v>
      </c>
      <c r="H149" s="8">
        <v>1.94</v>
      </c>
      <c r="I149" s="4">
        <v>0</v>
      </c>
    </row>
    <row r="150" spans="1:9" x14ac:dyDescent="0.15">
      <c r="A150" s="2">
        <v>15</v>
      </c>
      <c r="B150" s="1" t="s">
        <v>148</v>
      </c>
      <c r="C150" s="4">
        <v>37</v>
      </c>
      <c r="D150" s="8">
        <v>1.55</v>
      </c>
      <c r="E150" s="4">
        <v>26</v>
      </c>
      <c r="F150" s="8">
        <v>1.92</v>
      </c>
      <c r="G150" s="4">
        <v>11</v>
      </c>
      <c r="H150" s="8">
        <v>1.07</v>
      </c>
      <c r="I150" s="4">
        <v>0</v>
      </c>
    </row>
    <row r="151" spans="1:9" x14ac:dyDescent="0.15">
      <c r="A151" s="2">
        <v>16</v>
      </c>
      <c r="B151" s="1" t="s">
        <v>153</v>
      </c>
      <c r="C151" s="4">
        <v>36</v>
      </c>
      <c r="D151" s="8">
        <v>1.51</v>
      </c>
      <c r="E151" s="4">
        <v>9</v>
      </c>
      <c r="F151" s="8">
        <v>0.67</v>
      </c>
      <c r="G151" s="4">
        <v>27</v>
      </c>
      <c r="H151" s="8">
        <v>2.62</v>
      </c>
      <c r="I151" s="4">
        <v>0</v>
      </c>
    </row>
    <row r="152" spans="1:9" x14ac:dyDescent="0.15">
      <c r="A152" s="2">
        <v>17</v>
      </c>
      <c r="B152" s="1" t="s">
        <v>156</v>
      </c>
      <c r="C152" s="4">
        <v>35</v>
      </c>
      <c r="D152" s="8">
        <v>1.47</v>
      </c>
      <c r="E152" s="4">
        <v>30</v>
      </c>
      <c r="F152" s="8">
        <v>2.2200000000000002</v>
      </c>
      <c r="G152" s="4">
        <v>5</v>
      </c>
      <c r="H152" s="8">
        <v>0.48</v>
      </c>
      <c r="I152" s="4">
        <v>0</v>
      </c>
    </row>
    <row r="153" spans="1:9" x14ac:dyDescent="0.15">
      <c r="A153" s="2">
        <v>18</v>
      </c>
      <c r="B153" s="1" t="s">
        <v>151</v>
      </c>
      <c r="C153" s="4">
        <v>34</v>
      </c>
      <c r="D153" s="8">
        <v>1.42</v>
      </c>
      <c r="E153" s="4">
        <v>31</v>
      </c>
      <c r="F153" s="8">
        <v>2.29</v>
      </c>
      <c r="G153" s="4">
        <v>3</v>
      </c>
      <c r="H153" s="8">
        <v>0.28999999999999998</v>
      </c>
      <c r="I153" s="4">
        <v>0</v>
      </c>
    </row>
    <row r="154" spans="1:9" x14ac:dyDescent="0.15">
      <c r="A154" s="2">
        <v>19</v>
      </c>
      <c r="B154" s="1" t="s">
        <v>130</v>
      </c>
      <c r="C154" s="4">
        <v>32</v>
      </c>
      <c r="D154" s="8">
        <v>1.34</v>
      </c>
      <c r="E154" s="4">
        <v>25</v>
      </c>
      <c r="F154" s="8">
        <v>1.85</v>
      </c>
      <c r="G154" s="4">
        <v>7</v>
      </c>
      <c r="H154" s="8">
        <v>0.68</v>
      </c>
      <c r="I154" s="4">
        <v>0</v>
      </c>
    </row>
    <row r="155" spans="1:9" x14ac:dyDescent="0.15">
      <c r="A155" s="2">
        <v>20</v>
      </c>
      <c r="B155" s="1" t="s">
        <v>127</v>
      </c>
      <c r="C155" s="4">
        <v>31</v>
      </c>
      <c r="D155" s="8">
        <v>1.3</v>
      </c>
      <c r="E155" s="4">
        <v>13</v>
      </c>
      <c r="F155" s="8">
        <v>0.96</v>
      </c>
      <c r="G155" s="4">
        <v>18</v>
      </c>
      <c r="H155" s="8">
        <v>1.75</v>
      </c>
      <c r="I155" s="4">
        <v>0</v>
      </c>
    </row>
    <row r="156" spans="1:9" x14ac:dyDescent="0.15">
      <c r="A156" s="2">
        <v>20</v>
      </c>
      <c r="B156" s="1" t="s">
        <v>142</v>
      </c>
      <c r="C156" s="4">
        <v>31</v>
      </c>
      <c r="D156" s="8">
        <v>1.3</v>
      </c>
      <c r="E156" s="4">
        <v>24</v>
      </c>
      <c r="F156" s="8">
        <v>1.78</v>
      </c>
      <c r="G156" s="4">
        <v>7</v>
      </c>
      <c r="H156" s="8">
        <v>0.68</v>
      </c>
      <c r="I156" s="4">
        <v>0</v>
      </c>
    </row>
    <row r="157" spans="1:9" x14ac:dyDescent="0.15">
      <c r="A157" s="1"/>
      <c r="C157" s="4"/>
      <c r="D157" s="8"/>
      <c r="E157" s="4"/>
      <c r="F157" s="8"/>
      <c r="G157" s="4"/>
      <c r="H157" s="8"/>
      <c r="I157" s="4"/>
    </row>
    <row r="158" spans="1:9" x14ac:dyDescent="0.15">
      <c r="A158" s="1" t="s">
        <v>7</v>
      </c>
      <c r="C158" s="4"/>
      <c r="D158" s="8"/>
      <c r="E158" s="4"/>
      <c r="F158" s="8"/>
      <c r="G158" s="4"/>
      <c r="H158" s="8"/>
      <c r="I158" s="4"/>
    </row>
    <row r="159" spans="1:9" x14ac:dyDescent="0.15">
      <c r="A159" s="2">
        <v>1</v>
      </c>
      <c r="B159" s="1" t="s">
        <v>141</v>
      </c>
      <c r="C159" s="4">
        <v>184</v>
      </c>
      <c r="D159" s="8">
        <v>6.21</v>
      </c>
      <c r="E159" s="4">
        <v>170</v>
      </c>
      <c r="F159" s="8">
        <v>9.61</v>
      </c>
      <c r="G159" s="4">
        <v>14</v>
      </c>
      <c r="H159" s="8">
        <v>1.18</v>
      </c>
      <c r="I159" s="4">
        <v>0</v>
      </c>
    </row>
    <row r="160" spans="1:9" x14ac:dyDescent="0.15">
      <c r="A160" s="2">
        <v>2</v>
      </c>
      <c r="B160" s="1" t="s">
        <v>143</v>
      </c>
      <c r="C160" s="4">
        <v>139</v>
      </c>
      <c r="D160" s="8">
        <v>4.6900000000000004</v>
      </c>
      <c r="E160" s="4">
        <v>113</v>
      </c>
      <c r="F160" s="8">
        <v>6.39</v>
      </c>
      <c r="G160" s="4">
        <v>24</v>
      </c>
      <c r="H160" s="8">
        <v>2.02</v>
      </c>
      <c r="I160" s="4">
        <v>2</v>
      </c>
    </row>
    <row r="161" spans="1:9" x14ac:dyDescent="0.15">
      <c r="A161" s="2">
        <v>3</v>
      </c>
      <c r="B161" s="1" t="s">
        <v>134</v>
      </c>
      <c r="C161" s="4">
        <v>133</v>
      </c>
      <c r="D161" s="8">
        <v>4.49</v>
      </c>
      <c r="E161" s="4">
        <v>73</v>
      </c>
      <c r="F161" s="8">
        <v>4.13</v>
      </c>
      <c r="G161" s="4">
        <v>60</v>
      </c>
      <c r="H161" s="8">
        <v>5.04</v>
      </c>
      <c r="I161" s="4">
        <v>0</v>
      </c>
    </row>
    <row r="162" spans="1:9" x14ac:dyDescent="0.15">
      <c r="A162" s="2">
        <v>4</v>
      </c>
      <c r="B162" s="1" t="s">
        <v>140</v>
      </c>
      <c r="C162" s="4">
        <v>112</v>
      </c>
      <c r="D162" s="8">
        <v>3.78</v>
      </c>
      <c r="E162" s="4">
        <v>102</v>
      </c>
      <c r="F162" s="8">
        <v>5.77</v>
      </c>
      <c r="G162" s="4">
        <v>10</v>
      </c>
      <c r="H162" s="8">
        <v>0.84</v>
      </c>
      <c r="I162" s="4">
        <v>0</v>
      </c>
    </row>
    <row r="163" spans="1:9" x14ac:dyDescent="0.15">
      <c r="A163" s="2">
        <v>5</v>
      </c>
      <c r="B163" s="1" t="s">
        <v>138</v>
      </c>
      <c r="C163" s="4">
        <v>105</v>
      </c>
      <c r="D163" s="8">
        <v>3.54</v>
      </c>
      <c r="E163" s="4">
        <v>96</v>
      </c>
      <c r="F163" s="8">
        <v>5.43</v>
      </c>
      <c r="G163" s="4">
        <v>9</v>
      </c>
      <c r="H163" s="8">
        <v>0.76</v>
      </c>
      <c r="I163" s="4">
        <v>0</v>
      </c>
    </row>
    <row r="164" spans="1:9" x14ac:dyDescent="0.15">
      <c r="A164" s="2">
        <v>6</v>
      </c>
      <c r="B164" s="1" t="s">
        <v>144</v>
      </c>
      <c r="C164" s="4">
        <v>92</v>
      </c>
      <c r="D164" s="8">
        <v>3.1</v>
      </c>
      <c r="E164" s="4">
        <v>78</v>
      </c>
      <c r="F164" s="8">
        <v>4.41</v>
      </c>
      <c r="G164" s="4">
        <v>14</v>
      </c>
      <c r="H164" s="8">
        <v>1.18</v>
      </c>
      <c r="I164" s="4">
        <v>0</v>
      </c>
    </row>
    <row r="165" spans="1:9" x14ac:dyDescent="0.15">
      <c r="A165" s="2">
        <v>7</v>
      </c>
      <c r="B165" s="1" t="s">
        <v>148</v>
      </c>
      <c r="C165" s="4">
        <v>75</v>
      </c>
      <c r="D165" s="8">
        <v>2.5299999999999998</v>
      </c>
      <c r="E165" s="4">
        <v>60</v>
      </c>
      <c r="F165" s="8">
        <v>3.39</v>
      </c>
      <c r="G165" s="4">
        <v>15</v>
      </c>
      <c r="H165" s="8">
        <v>1.26</v>
      </c>
      <c r="I165" s="4">
        <v>0</v>
      </c>
    </row>
    <row r="166" spans="1:9" x14ac:dyDescent="0.15">
      <c r="A166" s="2">
        <v>8</v>
      </c>
      <c r="B166" s="1" t="s">
        <v>136</v>
      </c>
      <c r="C166" s="4">
        <v>69</v>
      </c>
      <c r="D166" s="8">
        <v>2.33</v>
      </c>
      <c r="E166" s="4">
        <v>66</v>
      </c>
      <c r="F166" s="8">
        <v>3.73</v>
      </c>
      <c r="G166" s="4">
        <v>3</v>
      </c>
      <c r="H166" s="8">
        <v>0.25</v>
      </c>
      <c r="I166" s="4">
        <v>0</v>
      </c>
    </row>
    <row r="167" spans="1:9" x14ac:dyDescent="0.15">
      <c r="A167" s="2">
        <v>9</v>
      </c>
      <c r="B167" s="1" t="s">
        <v>129</v>
      </c>
      <c r="C167" s="4">
        <v>66</v>
      </c>
      <c r="D167" s="8">
        <v>2.23</v>
      </c>
      <c r="E167" s="4">
        <v>42</v>
      </c>
      <c r="F167" s="8">
        <v>2.37</v>
      </c>
      <c r="G167" s="4">
        <v>24</v>
      </c>
      <c r="H167" s="8">
        <v>2.02</v>
      </c>
      <c r="I167" s="4">
        <v>0</v>
      </c>
    </row>
    <row r="168" spans="1:9" x14ac:dyDescent="0.15">
      <c r="A168" s="2">
        <v>9</v>
      </c>
      <c r="B168" s="1" t="s">
        <v>132</v>
      </c>
      <c r="C168" s="4">
        <v>66</v>
      </c>
      <c r="D168" s="8">
        <v>2.23</v>
      </c>
      <c r="E168" s="4">
        <v>47</v>
      </c>
      <c r="F168" s="8">
        <v>2.66</v>
      </c>
      <c r="G168" s="4">
        <v>19</v>
      </c>
      <c r="H168" s="8">
        <v>1.6</v>
      </c>
      <c r="I168" s="4">
        <v>0</v>
      </c>
    </row>
    <row r="169" spans="1:9" x14ac:dyDescent="0.15">
      <c r="A169" s="2">
        <v>9</v>
      </c>
      <c r="B169" s="1" t="s">
        <v>139</v>
      </c>
      <c r="C169" s="4">
        <v>66</v>
      </c>
      <c r="D169" s="8">
        <v>2.23</v>
      </c>
      <c r="E169" s="4">
        <v>36</v>
      </c>
      <c r="F169" s="8">
        <v>2.04</v>
      </c>
      <c r="G169" s="4">
        <v>30</v>
      </c>
      <c r="H169" s="8">
        <v>2.52</v>
      </c>
      <c r="I169" s="4">
        <v>0</v>
      </c>
    </row>
    <row r="170" spans="1:9" x14ac:dyDescent="0.15">
      <c r="A170" s="2">
        <v>12</v>
      </c>
      <c r="B170" s="1" t="s">
        <v>135</v>
      </c>
      <c r="C170" s="4">
        <v>64</v>
      </c>
      <c r="D170" s="8">
        <v>2.16</v>
      </c>
      <c r="E170" s="4">
        <v>56</v>
      </c>
      <c r="F170" s="8">
        <v>3.17</v>
      </c>
      <c r="G170" s="4">
        <v>8</v>
      </c>
      <c r="H170" s="8">
        <v>0.67</v>
      </c>
      <c r="I170" s="4">
        <v>0</v>
      </c>
    </row>
    <row r="171" spans="1:9" x14ac:dyDescent="0.15">
      <c r="A171" s="2">
        <v>13</v>
      </c>
      <c r="B171" s="1" t="s">
        <v>128</v>
      </c>
      <c r="C171" s="4">
        <v>61</v>
      </c>
      <c r="D171" s="8">
        <v>2.06</v>
      </c>
      <c r="E171" s="4">
        <v>33</v>
      </c>
      <c r="F171" s="8">
        <v>1.87</v>
      </c>
      <c r="G171" s="4">
        <v>28</v>
      </c>
      <c r="H171" s="8">
        <v>2.35</v>
      </c>
      <c r="I171" s="4">
        <v>0</v>
      </c>
    </row>
    <row r="172" spans="1:9" x14ac:dyDescent="0.15">
      <c r="A172" s="2">
        <v>14</v>
      </c>
      <c r="B172" s="1" t="s">
        <v>142</v>
      </c>
      <c r="C172" s="4">
        <v>56</v>
      </c>
      <c r="D172" s="8">
        <v>1.89</v>
      </c>
      <c r="E172" s="4">
        <v>40</v>
      </c>
      <c r="F172" s="8">
        <v>2.2599999999999998</v>
      </c>
      <c r="G172" s="4">
        <v>16</v>
      </c>
      <c r="H172" s="8">
        <v>1.34</v>
      </c>
      <c r="I172" s="4">
        <v>0</v>
      </c>
    </row>
    <row r="173" spans="1:9" x14ac:dyDescent="0.15">
      <c r="A173" s="2">
        <v>15</v>
      </c>
      <c r="B173" s="1" t="s">
        <v>133</v>
      </c>
      <c r="C173" s="4">
        <v>51</v>
      </c>
      <c r="D173" s="8">
        <v>1.72</v>
      </c>
      <c r="E173" s="4">
        <v>12</v>
      </c>
      <c r="F173" s="8">
        <v>0.68</v>
      </c>
      <c r="G173" s="4">
        <v>39</v>
      </c>
      <c r="H173" s="8">
        <v>3.28</v>
      </c>
      <c r="I173" s="4">
        <v>0</v>
      </c>
    </row>
    <row r="174" spans="1:9" x14ac:dyDescent="0.15">
      <c r="A174" s="2">
        <v>15</v>
      </c>
      <c r="B174" s="1" t="s">
        <v>137</v>
      </c>
      <c r="C174" s="4">
        <v>51</v>
      </c>
      <c r="D174" s="8">
        <v>1.72</v>
      </c>
      <c r="E174" s="4">
        <v>49</v>
      </c>
      <c r="F174" s="8">
        <v>2.77</v>
      </c>
      <c r="G174" s="4">
        <v>2</v>
      </c>
      <c r="H174" s="8">
        <v>0.17</v>
      </c>
      <c r="I174" s="4">
        <v>0</v>
      </c>
    </row>
    <row r="175" spans="1:9" x14ac:dyDescent="0.15">
      <c r="A175" s="2">
        <v>17</v>
      </c>
      <c r="B175" s="1" t="s">
        <v>130</v>
      </c>
      <c r="C175" s="4">
        <v>46</v>
      </c>
      <c r="D175" s="8">
        <v>1.55</v>
      </c>
      <c r="E175" s="4">
        <v>31</v>
      </c>
      <c r="F175" s="8">
        <v>1.75</v>
      </c>
      <c r="G175" s="4">
        <v>15</v>
      </c>
      <c r="H175" s="8">
        <v>1.26</v>
      </c>
      <c r="I175" s="4">
        <v>0</v>
      </c>
    </row>
    <row r="176" spans="1:9" x14ac:dyDescent="0.15">
      <c r="A176" s="2">
        <v>18</v>
      </c>
      <c r="B176" s="1" t="s">
        <v>146</v>
      </c>
      <c r="C176" s="4">
        <v>45</v>
      </c>
      <c r="D176" s="8">
        <v>1.52</v>
      </c>
      <c r="E176" s="4">
        <v>33</v>
      </c>
      <c r="F176" s="8">
        <v>1.87</v>
      </c>
      <c r="G176" s="4">
        <v>12</v>
      </c>
      <c r="H176" s="8">
        <v>1.01</v>
      </c>
      <c r="I176" s="4">
        <v>0</v>
      </c>
    </row>
    <row r="177" spans="1:9" x14ac:dyDescent="0.15">
      <c r="A177" s="2">
        <v>18</v>
      </c>
      <c r="B177" s="1" t="s">
        <v>151</v>
      </c>
      <c r="C177" s="4">
        <v>45</v>
      </c>
      <c r="D177" s="8">
        <v>1.52</v>
      </c>
      <c r="E177" s="4">
        <v>42</v>
      </c>
      <c r="F177" s="8">
        <v>2.37</v>
      </c>
      <c r="G177" s="4">
        <v>3</v>
      </c>
      <c r="H177" s="8">
        <v>0.25</v>
      </c>
      <c r="I177" s="4">
        <v>0</v>
      </c>
    </row>
    <row r="178" spans="1:9" x14ac:dyDescent="0.15">
      <c r="A178" s="2">
        <v>20</v>
      </c>
      <c r="B178" s="1" t="s">
        <v>149</v>
      </c>
      <c r="C178" s="4">
        <v>43</v>
      </c>
      <c r="D178" s="8">
        <v>1.45</v>
      </c>
      <c r="E178" s="4">
        <v>2</v>
      </c>
      <c r="F178" s="8">
        <v>0.11</v>
      </c>
      <c r="G178" s="4">
        <v>39</v>
      </c>
      <c r="H178" s="8">
        <v>3.28</v>
      </c>
      <c r="I178" s="4">
        <v>2</v>
      </c>
    </row>
    <row r="179" spans="1:9" x14ac:dyDescent="0.15">
      <c r="A179" s="1"/>
      <c r="C179" s="4"/>
      <c r="D179" s="8"/>
      <c r="E179" s="4"/>
      <c r="F179" s="8"/>
      <c r="G179" s="4"/>
      <c r="H179" s="8"/>
      <c r="I179" s="4"/>
    </row>
    <row r="180" spans="1:9" x14ac:dyDescent="0.15">
      <c r="A180" s="1" t="s">
        <v>8</v>
      </c>
      <c r="C180" s="4"/>
      <c r="D180" s="8"/>
      <c r="E180" s="4"/>
      <c r="F180" s="8"/>
      <c r="G180" s="4"/>
      <c r="H180" s="8"/>
      <c r="I180" s="4"/>
    </row>
    <row r="181" spans="1:9" x14ac:dyDescent="0.15">
      <c r="A181" s="2">
        <v>1</v>
      </c>
      <c r="B181" s="1" t="s">
        <v>141</v>
      </c>
      <c r="C181" s="4">
        <v>157</v>
      </c>
      <c r="D181" s="8">
        <v>5.81</v>
      </c>
      <c r="E181" s="4">
        <v>137</v>
      </c>
      <c r="F181" s="8">
        <v>9.74</v>
      </c>
      <c r="G181" s="4">
        <v>20</v>
      </c>
      <c r="H181" s="8">
        <v>1.55</v>
      </c>
      <c r="I181" s="4">
        <v>0</v>
      </c>
    </row>
    <row r="182" spans="1:9" x14ac:dyDescent="0.15">
      <c r="A182" s="2">
        <v>2</v>
      </c>
      <c r="B182" s="1" t="s">
        <v>143</v>
      </c>
      <c r="C182" s="4">
        <v>131</v>
      </c>
      <c r="D182" s="8">
        <v>4.8499999999999996</v>
      </c>
      <c r="E182" s="4">
        <v>119</v>
      </c>
      <c r="F182" s="8">
        <v>8.4600000000000009</v>
      </c>
      <c r="G182" s="4">
        <v>11</v>
      </c>
      <c r="H182" s="8">
        <v>0.85</v>
      </c>
      <c r="I182" s="4">
        <v>1</v>
      </c>
    </row>
    <row r="183" spans="1:9" x14ac:dyDescent="0.15">
      <c r="A183" s="2">
        <v>3</v>
      </c>
      <c r="B183" s="1" t="s">
        <v>134</v>
      </c>
      <c r="C183" s="4">
        <v>90</v>
      </c>
      <c r="D183" s="8">
        <v>3.33</v>
      </c>
      <c r="E183" s="4">
        <v>32</v>
      </c>
      <c r="F183" s="8">
        <v>2.2799999999999998</v>
      </c>
      <c r="G183" s="4">
        <v>58</v>
      </c>
      <c r="H183" s="8">
        <v>4.49</v>
      </c>
      <c r="I183" s="4">
        <v>0</v>
      </c>
    </row>
    <row r="184" spans="1:9" x14ac:dyDescent="0.15">
      <c r="A184" s="2">
        <v>4</v>
      </c>
      <c r="B184" s="1" t="s">
        <v>138</v>
      </c>
      <c r="C184" s="4">
        <v>83</v>
      </c>
      <c r="D184" s="8">
        <v>3.07</v>
      </c>
      <c r="E184" s="4">
        <v>75</v>
      </c>
      <c r="F184" s="8">
        <v>5.33</v>
      </c>
      <c r="G184" s="4">
        <v>8</v>
      </c>
      <c r="H184" s="8">
        <v>0.62</v>
      </c>
      <c r="I184" s="4">
        <v>0</v>
      </c>
    </row>
    <row r="185" spans="1:9" x14ac:dyDescent="0.15">
      <c r="A185" s="2">
        <v>5</v>
      </c>
      <c r="B185" s="1" t="s">
        <v>144</v>
      </c>
      <c r="C185" s="4">
        <v>77</v>
      </c>
      <c r="D185" s="8">
        <v>2.85</v>
      </c>
      <c r="E185" s="4">
        <v>70</v>
      </c>
      <c r="F185" s="8">
        <v>4.9800000000000004</v>
      </c>
      <c r="G185" s="4">
        <v>7</v>
      </c>
      <c r="H185" s="8">
        <v>0.54</v>
      </c>
      <c r="I185" s="4">
        <v>0</v>
      </c>
    </row>
    <row r="186" spans="1:9" x14ac:dyDescent="0.15">
      <c r="A186" s="2">
        <v>6</v>
      </c>
      <c r="B186" s="1" t="s">
        <v>140</v>
      </c>
      <c r="C186" s="4">
        <v>76</v>
      </c>
      <c r="D186" s="8">
        <v>2.81</v>
      </c>
      <c r="E186" s="4">
        <v>70</v>
      </c>
      <c r="F186" s="8">
        <v>4.9800000000000004</v>
      </c>
      <c r="G186" s="4">
        <v>6</v>
      </c>
      <c r="H186" s="8">
        <v>0.46</v>
      </c>
      <c r="I186" s="4">
        <v>0</v>
      </c>
    </row>
    <row r="187" spans="1:9" x14ac:dyDescent="0.15">
      <c r="A187" s="2">
        <v>7</v>
      </c>
      <c r="B187" s="1" t="s">
        <v>132</v>
      </c>
      <c r="C187" s="4">
        <v>67</v>
      </c>
      <c r="D187" s="8">
        <v>2.48</v>
      </c>
      <c r="E187" s="4">
        <v>47</v>
      </c>
      <c r="F187" s="8">
        <v>3.34</v>
      </c>
      <c r="G187" s="4">
        <v>20</v>
      </c>
      <c r="H187" s="8">
        <v>1.55</v>
      </c>
      <c r="I187" s="4">
        <v>0</v>
      </c>
    </row>
    <row r="188" spans="1:9" x14ac:dyDescent="0.15">
      <c r="A188" s="2">
        <v>8</v>
      </c>
      <c r="B188" s="1" t="s">
        <v>142</v>
      </c>
      <c r="C188" s="4">
        <v>65</v>
      </c>
      <c r="D188" s="8">
        <v>2.41</v>
      </c>
      <c r="E188" s="4">
        <v>55</v>
      </c>
      <c r="F188" s="8">
        <v>3.91</v>
      </c>
      <c r="G188" s="4">
        <v>10</v>
      </c>
      <c r="H188" s="8">
        <v>0.77</v>
      </c>
      <c r="I188" s="4">
        <v>0</v>
      </c>
    </row>
    <row r="189" spans="1:9" x14ac:dyDescent="0.15">
      <c r="A189" s="2">
        <v>9</v>
      </c>
      <c r="B189" s="1" t="s">
        <v>130</v>
      </c>
      <c r="C189" s="4">
        <v>60</v>
      </c>
      <c r="D189" s="8">
        <v>2.2200000000000002</v>
      </c>
      <c r="E189" s="4">
        <v>36</v>
      </c>
      <c r="F189" s="8">
        <v>2.56</v>
      </c>
      <c r="G189" s="4">
        <v>24</v>
      </c>
      <c r="H189" s="8">
        <v>1.86</v>
      </c>
      <c r="I189" s="4">
        <v>0</v>
      </c>
    </row>
    <row r="190" spans="1:9" x14ac:dyDescent="0.15">
      <c r="A190" s="2">
        <v>10</v>
      </c>
      <c r="B190" s="1" t="s">
        <v>125</v>
      </c>
      <c r="C190" s="4">
        <v>56</v>
      </c>
      <c r="D190" s="8">
        <v>2.0699999999999998</v>
      </c>
      <c r="E190" s="4">
        <v>20</v>
      </c>
      <c r="F190" s="8">
        <v>1.42</v>
      </c>
      <c r="G190" s="4">
        <v>36</v>
      </c>
      <c r="H190" s="8">
        <v>2.79</v>
      </c>
      <c r="I190" s="4">
        <v>0</v>
      </c>
    </row>
    <row r="191" spans="1:9" x14ac:dyDescent="0.15">
      <c r="A191" s="2">
        <v>11</v>
      </c>
      <c r="B191" s="1" t="s">
        <v>135</v>
      </c>
      <c r="C191" s="4">
        <v>52</v>
      </c>
      <c r="D191" s="8">
        <v>1.93</v>
      </c>
      <c r="E191" s="4">
        <v>42</v>
      </c>
      <c r="F191" s="8">
        <v>2.99</v>
      </c>
      <c r="G191" s="4">
        <v>10</v>
      </c>
      <c r="H191" s="8">
        <v>0.77</v>
      </c>
      <c r="I191" s="4">
        <v>0</v>
      </c>
    </row>
    <row r="192" spans="1:9" x14ac:dyDescent="0.15">
      <c r="A192" s="2">
        <v>12</v>
      </c>
      <c r="B192" s="1" t="s">
        <v>146</v>
      </c>
      <c r="C192" s="4">
        <v>51</v>
      </c>
      <c r="D192" s="8">
        <v>1.89</v>
      </c>
      <c r="E192" s="4">
        <v>24</v>
      </c>
      <c r="F192" s="8">
        <v>1.71</v>
      </c>
      <c r="G192" s="4">
        <v>27</v>
      </c>
      <c r="H192" s="8">
        <v>2.09</v>
      </c>
      <c r="I192" s="4">
        <v>0</v>
      </c>
    </row>
    <row r="193" spans="1:9" x14ac:dyDescent="0.15">
      <c r="A193" s="2">
        <v>13</v>
      </c>
      <c r="B193" s="1" t="s">
        <v>160</v>
      </c>
      <c r="C193" s="4">
        <v>46</v>
      </c>
      <c r="D193" s="8">
        <v>1.7</v>
      </c>
      <c r="E193" s="4">
        <v>11</v>
      </c>
      <c r="F193" s="8">
        <v>0.78</v>
      </c>
      <c r="G193" s="4">
        <v>35</v>
      </c>
      <c r="H193" s="8">
        <v>2.71</v>
      </c>
      <c r="I193" s="4">
        <v>0</v>
      </c>
    </row>
    <row r="194" spans="1:9" x14ac:dyDescent="0.15">
      <c r="A194" s="2">
        <v>13</v>
      </c>
      <c r="B194" s="1" t="s">
        <v>136</v>
      </c>
      <c r="C194" s="4">
        <v>46</v>
      </c>
      <c r="D194" s="8">
        <v>1.7</v>
      </c>
      <c r="E194" s="4">
        <v>39</v>
      </c>
      <c r="F194" s="8">
        <v>2.77</v>
      </c>
      <c r="G194" s="4">
        <v>7</v>
      </c>
      <c r="H194" s="8">
        <v>0.54</v>
      </c>
      <c r="I194" s="4">
        <v>0</v>
      </c>
    </row>
    <row r="195" spans="1:9" x14ac:dyDescent="0.15">
      <c r="A195" s="2">
        <v>13</v>
      </c>
      <c r="B195" s="1" t="s">
        <v>139</v>
      </c>
      <c r="C195" s="4">
        <v>46</v>
      </c>
      <c r="D195" s="8">
        <v>1.7</v>
      </c>
      <c r="E195" s="4">
        <v>16</v>
      </c>
      <c r="F195" s="8">
        <v>1.1399999999999999</v>
      </c>
      <c r="G195" s="4">
        <v>30</v>
      </c>
      <c r="H195" s="8">
        <v>2.3199999999999998</v>
      </c>
      <c r="I195" s="4">
        <v>0</v>
      </c>
    </row>
    <row r="196" spans="1:9" x14ac:dyDescent="0.15">
      <c r="A196" s="2">
        <v>16</v>
      </c>
      <c r="B196" s="1" t="s">
        <v>128</v>
      </c>
      <c r="C196" s="4">
        <v>43</v>
      </c>
      <c r="D196" s="8">
        <v>1.59</v>
      </c>
      <c r="E196" s="4">
        <v>13</v>
      </c>
      <c r="F196" s="8">
        <v>0.92</v>
      </c>
      <c r="G196" s="4">
        <v>30</v>
      </c>
      <c r="H196" s="8">
        <v>2.3199999999999998</v>
      </c>
      <c r="I196" s="4">
        <v>0</v>
      </c>
    </row>
    <row r="197" spans="1:9" x14ac:dyDescent="0.15">
      <c r="A197" s="2">
        <v>17</v>
      </c>
      <c r="B197" s="1" t="s">
        <v>126</v>
      </c>
      <c r="C197" s="4">
        <v>42</v>
      </c>
      <c r="D197" s="8">
        <v>1.55</v>
      </c>
      <c r="E197" s="4">
        <v>6</v>
      </c>
      <c r="F197" s="8">
        <v>0.43</v>
      </c>
      <c r="G197" s="4">
        <v>36</v>
      </c>
      <c r="H197" s="8">
        <v>2.79</v>
      </c>
      <c r="I197" s="4">
        <v>0</v>
      </c>
    </row>
    <row r="198" spans="1:9" x14ac:dyDescent="0.15">
      <c r="A198" s="2">
        <v>18</v>
      </c>
      <c r="B198" s="1" t="s">
        <v>149</v>
      </c>
      <c r="C198" s="4">
        <v>41</v>
      </c>
      <c r="D198" s="8">
        <v>1.52</v>
      </c>
      <c r="E198" s="4">
        <v>3</v>
      </c>
      <c r="F198" s="8">
        <v>0.21</v>
      </c>
      <c r="G198" s="4">
        <v>38</v>
      </c>
      <c r="H198" s="8">
        <v>2.94</v>
      </c>
      <c r="I198" s="4">
        <v>0</v>
      </c>
    </row>
    <row r="199" spans="1:9" x14ac:dyDescent="0.15">
      <c r="A199" s="2">
        <v>19</v>
      </c>
      <c r="B199" s="1" t="s">
        <v>161</v>
      </c>
      <c r="C199" s="4">
        <v>39</v>
      </c>
      <c r="D199" s="8">
        <v>1.44</v>
      </c>
      <c r="E199" s="4">
        <v>38</v>
      </c>
      <c r="F199" s="8">
        <v>2.7</v>
      </c>
      <c r="G199" s="4">
        <v>1</v>
      </c>
      <c r="H199" s="8">
        <v>0.08</v>
      </c>
      <c r="I199" s="4">
        <v>0</v>
      </c>
    </row>
    <row r="200" spans="1:9" x14ac:dyDescent="0.15">
      <c r="A200" s="2">
        <v>20</v>
      </c>
      <c r="B200" s="1" t="s">
        <v>137</v>
      </c>
      <c r="C200" s="4">
        <v>35</v>
      </c>
      <c r="D200" s="8">
        <v>1.3</v>
      </c>
      <c r="E200" s="4">
        <v>35</v>
      </c>
      <c r="F200" s="8">
        <v>2.4900000000000002</v>
      </c>
      <c r="G200" s="4">
        <v>0</v>
      </c>
      <c r="H200" s="8">
        <v>0</v>
      </c>
      <c r="I200" s="4">
        <v>0</v>
      </c>
    </row>
    <row r="201" spans="1:9" x14ac:dyDescent="0.15">
      <c r="A201" s="1"/>
      <c r="C201" s="4"/>
      <c r="D201" s="8"/>
      <c r="E201" s="4"/>
      <c r="F201" s="8"/>
      <c r="G201" s="4"/>
      <c r="H201" s="8"/>
      <c r="I201" s="4"/>
    </row>
    <row r="202" spans="1:9" x14ac:dyDescent="0.15">
      <c r="A202" s="1" t="s">
        <v>9</v>
      </c>
      <c r="C202" s="4"/>
      <c r="D202" s="8"/>
      <c r="E202" s="4"/>
      <c r="F202" s="8"/>
      <c r="G202" s="4"/>
      <c r="H202" s="8"/>
      <c r="I202" s="4"/>
    </row>
    <row r="203" spans="1:9" x14ac:dyDescent="0.15">
      <c r="A203" s="2">
        <v>1</v>
      </c>
      <c r="B203" s="1" t="s">
        <v>137</v>
      </c>
      <c r="C203" s="4">
        <v>1220</v>
      </c>
      <c r="D203" s="8">
        <v>11.12</v>
      </c>
      <c r="E203" s="4">
        <v>1198</v>
      </c>
      <c r="F203" s="8">
        <v>20.74</v>
      </c>
      <c r="G203" s="4">
        <v>22</v>
      </c>
      <c r="H203" s="8">
        <v>0.43</v>
      </c>
      <c r="I203" s="4">
        <v>0</v>
      </c>
    </row>
    <row r="204" spans="1:9" x14ac:dyDescent="0.15">
      <c r="A204" s="2">
        <v>2</v>
      </c>
      <c r="B204" s="1" t="s">
        <v>135</v>
      </c>
      <c r="C204" s="4">
        <v>542</v>
      </c>
      <c r="D204" s="8">
        <v>4.9400000000000004</v>
      </c>
      <c r="E204" s="4">
        <v>446</v>
      </c>
      <c r="F204" s="8">
        <v>7.72</v>
      </c>
      <c r="G204" s="4">
        <v>96</v>
      </c>
      <c r="H204" s="8">
        <v>1.86</v>
      </c>
      <c r="I204" s="4">
        <v>0</v>
      </c>
    </row>
    <row r="205" spans="1:9" x14ac:dyDescent="0.15">
      <c r="A205" s="2">
        <v>3</v>
      </c>
      <c r="B205" s="1" t="s">
        <v>136</v>
      </c>
      <c r="C205" s="4">
        <v>398</v>
      </c>
      <c r="D205" s="8">
        <v>3.63</v>
      </c>
      <c r="E205" s="4">
        <v>345</v>
      </c>
      <c r="F205" s="8">
        <v>5.97</v>
      </c>
      <c r="G205" s="4">
        <v>53</v>
      </c>
      <c r="H205" s="8">
        <v>1.02</v>
      </c>
      <c r="I205" s="4">
        <v>0</v>
      </c>
    </row>
    <row r="206" spans="1:9" x14ac:dyDescent="0.15">
      <c r="A206" s="2">
        <v>4</v>
      </c>
      <c r="B206" s="1" t="s">
        <v>128</v>
      </c>
      <c r="C206" s="4">
        <v>343</v>
      </c>
      <c r="D206" s="8">
        <v>3.13</v>
      </c>
      <c r="E206" s="4">
        <v>148</v>
      </c>
      <c r="F206" s="8">
        <v>2.56</v>
      </c>
      <c r="G206" s="4">
        <v>195</v>
      </c>
      <c r="H206" s="8">
        <v>3.77</v>
      </c>
      <c r="I206" s="4">
        <v>0</v>
      </c>
    </row>
    <row r="207" spans="1:9" x14ac:dyDescent="0.15">
      <c r="A207" s="2">
        <v>5</v>
      </c>
      <c r="B207" s="1" t="s">
        <v>134</v>
      </c>
      <c r="C207" s="4">
        <v>341</v>
      </c>
      <c r="D207" s="8">
        <v>3.11</v>
      </c>
      <c r="E207" s="4">
        <v>153</v>
      </c>
      <c r="F207" s="8">
        <v>2.65</v>
      </c>
      <c r="G207" s="4">
        <v>188</v>
      </c>
      <c r="H207" s="8">
        <v>3.63</v>
      </c>
      <c r="I207" s="4">
        <v>0</v>
      </c>
    </row>
    <row r="208" spans="1:9" x14ac:dyDescent="0.15">
      <c r="A208" s="2">
        <v>5</v>
      </c>
      <c r="B208" s="1" t="s">
        <v>138</v>
      </c>
      <c r="C208" s="4">
        <v>341</v>
      </c>
      <c r="D208" s="8">
        <v>3.11</v>
      </c>
      <c r="E208" s="4">
        <v>290</v>
      </c>
      <c r="F208" s="8">
        <v>5.0199999999999996</v>
      </c>
      <c r="G208" s="4">
        <v>51</v>
      </c>
      <c r="H208" s="8">
        <v>0.99</v>
      </c>
      <c r="I208" s="4">
        <v>0</v>
      </c>
    </row>
    <row r="209" spans="1:9" x14ac:dyDescent="0.15">
      <c r="A209" s="2">
        <v>7</v>
      </c>
      <c r="B209" s="1" t="s">
        <v>132</v>
      </c>
      <c r="C209" s="4">
        <v>339</v>
      </c>
      <c r="D209" s="8">
        <v>3.09</v>
      </c>
      <c r="E209" s="4">
        <v>194</v>
      </c>
      <c r="F209" s="8">
        <v>3.36</v>
      </c>
      <c r="G209" s="4">
        <v>145</v>
      </c>
      <c r="H209" s="8">
        <v>2.8</v>
      </c>
      <c r="I209" s="4">
        <v>0</v>
      </c>
    </row>
    <row r="210" spans="1:9" x14ac:dyDescent="0.15">
      <c r="A210" s="2">
        <v>8</v>
      </c>
      <c r="B210" s="1" t="s">
        <v>141</v>
      </c>
      <c r="C210" s="4">
        <v>299</v>
      </c>
      <c r="D210" s="8">
        <v>2.72</v>
      </c>
      <c r="E210" s="4">
        <v>247</v>
      </c>
      <c r="F210" s="8">
        <v>4.28</v>
      </c>
      <c r="G210" s="4">
        <v>52</v>
      </c>
      <c r="H210" s="8">
        <v>1.01</v>
      </c>
      <c r="I210" s="4">
        <v>0</v>
      </c>
    </row>
    <row r="211" spans="1:9" x14ac:dyDescent="0.15">
      <c r="A211" s="2">
        <v>9</v>
      </c>
      <c r="B211" s="1" t="s">
        <v>163</v>
      </c>
      <c r="C211" s="4">
        <v>239</v>
      </c>
      <c r="D211" s="8">
        <v>2.1800000000000002</v>
      </c>
      <c r="E211" s="4">
        <v>231</v>
      </c>
      <c r="F211" s="8">
        <v>4</v>
      </c>
      <c r="G211" s="4">
        <v>8</v>
      </c>
      <c r="H211" s="8">
        <v>0.15</v>
      </c>
      <c r="I211" s="4">
        <v>0</v>
      </c>
    </row>
    <row r="212" spans="1:9" x14ac:dyDescent="0.15">
      <c r="A212" s="2">
        <v>10</v>
      </c>
      <c r="B212" s="1" t="s">
        <v>145</v>
      </c>
      <c r="C212" s="4">
        <v>235</v>
      </c>
      <c r="D212" s="8">
        <v>2.14</v>
      </c>
      <c r="E212" s="4">
        <v>106</v>
      </c>
      <c r="F212" s="8">
        <v>1.83</v>
      </c>
      <c r="G212" s="4">
        <v>129</v>
      </c>
      <c r="H212" s="8">
        <v>2.4900000000000002</v>
      </c>
      <c r="I212" s="4">
        <v>0</v>
      </c>
    </row>
    <row r="213" spans="1:9" x14ac:dyDescent="0.15">
      <c r="A213" s="2">
        <v>11</v>
      </c>
      <c r="B213" s="1" t="s">
        <v>164</v>
      </c>
      <c r="C213" s="4">
        <v>212</v>
      </c>
      <c r="D213" s="8">
        <v>1.93</v>
      </c>
      <c r="E213" s="4">
        <v>207</v>
      </c>
      <c r="F213" s="8">
        <v>3.58</v>
      </c>
      <c r="G213" s="4">
        <v>5</v>
      </c>
      <c r="H213" s="8">
        <v>0.1</v>
      </c>
      <c r="I213" s="4">
        <v>0</v>
      </c>
    </row>
    <row r="214" spans="1:9" x14ac:dyDescent="0.15">
      <c r="A214" s="2">
        <v>12</v>
      </c>
      <c r="B214" s="1" t="s">
        <v>144</v>
      </c>
      <c r="C214" s="4">
        <v>198</v>
      </c>
      <c r="D214" s="8">
        <v>1.8</v>
      </c>
      <c r="E214" s="4">
        <v>159</v>
      </c>
      <c r="F214" s="8">
        <v>2.75</v>
      </c>
      <c r="G214" s="4">
        <v>39</v>
      </c>
      <c r="H214" s="8">
        <v>0.75</v>
      </c>
      <c r="I214" s="4">
        <v>0</v>
      </c>
    </row>
    <row r="215" spans="1:9" x14ac:dyDescent="0.15">
      <c r="A215" s="2">
        <v>13</v>
      </c>
      <c r="B215" s="1" t="s">
        <v>147</v>
      </c>
      <c r="C215" s="4">
        <v>192</v>
      </c>
      <c r="D215" s="8">
        <v>1.75</v>
      </c>
      <c r="E215" s="4">
        <v>37</v>
      </c>
      <c r="F215" s="8">
        <v>0.64</v>
      </c>
      <c r="G215" s="4">
        <v>155</v>
      </c>
      <c r="H215" s="8">
        <v>3</v>
      </c>
      <c r="I215" s="4">
        <v>0</v>
      </c>
    </row>
    <row r="216" spans="1:9" x14ac:dyDescent="0.15">
      <c r="A216" s="2">
        <v>14</v>
      </c>
      <c r="B216" s="1" t="s">
        <v>150</v>
      </c>
      <c r="C216" s="4">
        <v>187</v>
      </c>
      <c r="D216" s="8">
        <v>1.7</v>
      </c>
      <c r="E216" s="4">
        <v>58</v>
      </c>
      <c r="F216" s="8">
        <v>1</v>
      </c>
      <c r="G216" s="4">
        <v>129</v>
      </c>
      <c r="H216" s="8">
        <v>2.4900000000000002</v>
      </c>
      <c r="I216" s="4">
        <v>0</v>
      </c>
    </row>
    <row r="217" spans="1:9" x14ac:dyDescent="0.15">
      <c r="A217" s="2">
        <v>15</v>
      </c>
      <c r="B217" s="1" t="s">
        <v>133</v>
      </c>
      <c r="C217" s="4">
        <v>174</v>
      </c>
      <c r="D217" s="8">
        <v>1.59</v>
      </c>
      <c r="E217" s="4">
        <v>27</v>
      </c>
      <c r="F217" s="8">
        <v>0.47</v>
      </c>
      <c r="G217" s="4">
        <v>147</v>
      </c>
      <c r="H217" s="8">
        <v>2.84</v>
      </c>
      <c r="I217" s="4">
        <v>0</v>
      </c>
    </row>
    <row r="218" spans="1:9" x14ac:dyDescent="0.15">
      <c r="A218" s="2">
        <v>16</v>
      </c>
      <c r="B218" s="1" t="s">
        <v>143</v>
      </c>
      <c r="C218" s="4">
        <v>171</v>
      </c>
      <c r="D218" s="8">
        <v>1.56</v>
      </c>
      <c r="E218" s="4">
        <v>115</v>
      </c>
      <c r="F218" s="8">
        <v>1.99</v>
      </c>
      <c r="G218" s="4">
        <v>55</v>
      </c>
      <c r="H218" s="8">
        <v>1.06</v>
      </c>
      <c r="I218" s="4">
        <v>1</v>
      </c>
    </row>
    <row r="219" spans="1:9" x14ac:dyDescent="0.15">
      <c r="A219" s="2">
        <v>17</v>
      </c>
      <c r="B219" s="1" t="s">
        <v>162</v>
      </c>
      <c r="C219" s="4">
        <v>161</v>
      </c>
      <c r="D219" s="8">
        <v>1.47</v>
      </c>
      <c r="E219" s="4">
        <v>29</v>
      </c>
      <c r="F219" s="8">
        <v>0.5</v>
      </c>
      <c r="G219" s="4">
        <v>132</v>
      </c>
      <c r="H219" s="8">
        <v>2.5499999999999998</v>
      </c>
      <c r="I219" s="4">
        <v>0</v>
      </c>
    </row>
    <row r="220" spans="1:9" x14ac:dyDescent="0.15">
      <c r="A220" s="2">
        <v>18</v>
      </c>
      <c r="B220" s="1" t="s">
        <v>149</v>
      </c>
      <c r="C220" s="4">
        <v>154</v>
      </c>
      <c r="D220" s="8">
        <v>1.4</v>
      </c>
      <c r="E220" s="4">
        <v>16</v>
      </c>
      <c r="F220" s="8">
        <v>0.28000000000000003</v>
      </c>
      <c r="G220" s="4">
        <v>134</v>
      </c>
      <c r="H220" s="8">
        <v>2.59</v>
      </c>
      <c r="I220" s="4">
        <v>4</v>
      </c>
    </row>
    <row r="221" spans="1:9" x14ac:dyDescent="0.15">
      <c r="A221" s="2">
        <v>19</v>
      </c>
      <c r="B221" s="1" t="s">
        <v>129</v>
      </c>
      <c r="C221" s="4">
        <v>145</v>
      </c>
      <c r="D221" s="8">
        <v>1.32</v>
      </c>
      <c r="E221" s="4">
        <v>76</v>
      </c>
      <c r="F221" s="8">
        <v>1.32</v>
      </c>
      <c r="G221" s="4">
        <v>69</v>
      </c>
      <c r="H221" s="8">
        <v>1.33</v>
      </c>
      <c r="I221" s="4">
        <v>0</v>
      </c>
    </row>
    <row r="222" spans="1:9" x14ac:dyDescent="0.15">
      <c r="A222" s="2">
        <v>20</v>
      </c>
      <c r="B222" s="1" t="s">
        <v>165</v>
      </c>
      <c r="C222" s="4">
        <v>140</v>
      </c>
      <c r="D222" s="8">
        <v>1.28</v>
      </c>
      <c r="E222" s="4">
        <v>97</v>
      </c>
      <c r="F222" s="8">
        <v>1.68</v>
      </c>
      <c r="G222" s="4">
        <v>43</v>
      </c>
      <c r="H222" s="8">
        <v>0.83</v>
      </c>
      <c r="I222" s="4">
        <v>0</v>
      </c>
    </row>
    <row r="223" spans="1:9" x14ac:dyDescent="0.15">
      <c r="A223" s="1"/>
      <c r="C223" s="4"/>
      <c r="D223" s="8"/>
      <c r="E223" s="4"/>
      <c r="F223" s="8"/>
      <c r="G223" s="4"/>
      <c r="H223" s="8"/>
      <c r="I223" s="4"/>
    </row>
    <row r="224" spans="1:9" x14ac:dyDescent="0.15">
      <c r="A224" s="1" t="s">
        <v>10</v>
      </c>
      <c r="C224" s="4"/>
      <c r="D224" s="8"/>
      <c r="E224" s="4"/>
      <c r="F224" s="8"/>
      <c r="G224" s="4"/>
      <c r="H224" s="8"/>
      <c r="I224" s="4"/>
    </row>
    <row r="225" spans="1:9" x14ac:dyDescent="0.15">
      <c r="A225" s="2">
        <v>1</v>
      </c>
      <c r="B225" s="1" t="s">
        <v>134</v>
      </c>
      <c r="C225" s="4">
        <v>149</v>
      </c>
      <c r="D225" s="8">
        <v>4.75</v>
      </c>
      <c r="E225" s="4">
        <v>92</v>
      </c>
      <c r="F225" s="8">
        <v>6.65</v>
      </c>
      <c r="G225" s="4">
        <v>57</v>
      </c>
      <c r="H225" s="8">
        <v>3.26</v>
      </c>
      <c r="I225" s="4">
        <v>0</v>
      </c>
    </row>
    <row r="226" spans="1:9" x14ac:dyDescent="0.15">
      <c r="A226" s="2">
        <v>2</v>
      </c>
      <c r="B226" s="1" t="s">
        <v>141</v>
      </c>
      <c r="C226" s="4">
        <v>108</v>
      </c>
      <c r="D226" s="8">
        <v>3.44</v>
      </c>
      <c r="E226" s="4">
        <v>99</v>
      </c>
      <c r="F226" s="8">
        <v>7.16</v>
      </c>
      <c r="G226" s="4">
        <v>9</v>
      </c>
      <c r="H226" s="8">
        <v>0.51</v>
      </c>
      <c r="I226" s="4">
        <v>0</v>
      </c>
    </row>
    <row r="227" spans="1:9" x14ac:dyDescent="0.15">
      <c r="A227" s="2">
        <v>3</v>
      </c>
      <c r="B227" s="1" t="s">
        <v>130</v>
      </c>
      <c r="C227" s="4">
        <v>100</v>
      </c>
      <c r="D227" s="8">
        <v>3.19</v>
      </c>
      <c r="E227" s="4">
        <v>55</v>
      </c>
      <c r="F227" s="8">
        <v>3.98</v>
      </c>
      <c r="G227" s="4">
        <v>45</v>
      </c>
      <c r="H227" s="8">
        <v>2.57</v>
      </c>
      <c r="I227" s="4">
        <v>0</v>
      </c>
    </row>
    <row r="228" spans="1:9" x14ac:dyDescent="0.15">
      <c r="A228" s="2">
        <v>4</v>
      </c>
      <c r="B228" s="1" t="s">
        <v>143</v>
      </c>
      <c r="C228" s="4">
        <v>85</v>
      </c>
      <c r="D228" s="8">
        <v>2.71</v>
      </c>
      <c r="E228" s="4">
        <v>71</v>
      </c>
      <c r="F228" s="8">
        <v>5.13</v>
      </c>
      <c r="G228" s="4">
        <v>14</v>
      </c>
      <c r="H228" s="8">
        <v>0.8</v>
      </c>
      <c r="I228" s="4">
        <v>0</v>
      </c>
    </row>
    <row r="229" spans="1:9" x14ac:dyDescent="0.15">
      <c r="A229" s="2">
        <v>5</v>
      </c>
      <c r="B229" s="1" t="s">
        <v>166</v>
      </c>
      <c r="C229" s="4">
        <v>74</v>
      </c>
      <c r="D229" s="8">
        <v>2.36</v>
      </c>
      <c r="E229" s="4">
        <v>56</v>
      </c>
      <c r="F229" s="8">
        <v>4.05</v>
      </c>
      <c r="G229" s="4">
        <v>18</v>
      </c>
      <c r="H229" s="8">
        <v>1.03</v>
      </c>
      <c r="I229" s="4">
        <v>0</v>
      </c>
    </row>
    <row r="230" spans="1:9" x14ac:dyDescent="0.15">
      <c r="A230" s="2">
        <v>6</v>
      </c>
      <c r="B230" s="1" t="s">
        <v>140</v>
      </c>
      <c r="C230" s="4">
        <v>70</v>
      </c>
      <c r="D230" s="8">
        <v>2.23</v>
      </c>
      <c r="E230" s="4">
        <v>60</v>
      </c>
      <c r="F230" s="8">
        <v>4.34</v>
      </c>
      <c r="G230" s="4">
        <v>10</v>
      </c>
      <c r="H230" s="8">
        <v>0.56999999999999995</v>
      </c>
      <c r="I230" s="4">
        <v>0</v>
      </c>
    </row>
    <row r="231" spans="1:9" x14ac:dyDescent="0.15">
      <c r="A231" s="2">
        <v>7</v>
      </c>
      <c r="B231" s="1" t="s">
        <v>138</v>
      </c>
      <c r="C231" s="4">
        <v>68</v>
      </c>
      <c r="D231" s="8">
        <v>2.17</v>
      </c>
      <c r="E231" s="4">
        <v>65</v>
      </c>
      <c r="F231" s="8">
        <v>4.7</v>
      </c>
      <c r="G231" s="4">
        <v>3</v>
      </c>
      <c r="H231" s="8">
        <v>0.17</v>
      </c>
      <c r="I231" s="4">
        <v>0</v>
      </c>
    </row>
    <row r="232" spans="1:9" x14ac:dyDescent="0.15">
      <c r="A232" s="2">
        <v>8</v>
      </c>
      <c r="B232" s="1" t="s">
        <v>125</v>
      </c>
      <c r="C232" s="4">
        <v>67</v>
      </c>
      <c r="D232" s="8">
        <v>2.14</v>
      </c>
      <c r="E232" s="4">
        <v>20</v>
      </c>
      <c r="F232" s="8">
        <v>1.45</v>
      </c>
      <c r="G232" s="4">
        <v>47</v>
      </c>
      <c r="H232" s="8">
        <v>2.69</v>
      </c>
      <c r="I232" s="4">
        <v>0</v>
      </c>
    </row>
    <row r="233" spans="1:9" x14ac:dyDescent="0.15">
      <c r="A233" s="2">
        <v>9</v>
      </c>
      <c r="B233" s="1" t="s">
        <v>144</v>
      </c>
      <c r="C233" s="4">
        <v>62</v>
      </c>
      <c r="D233" s="8">
        <v>1.98</v>
      </c>
      <c r="E233" s="4">
        <v>56</v>
      </c>
      <c r="F233" s="8">
        <v>4.05</v>
      </c>
      <c r="G233" s="4">
        <v>6</v>
      </c>
      <c r="H233" s="8">
        <v>0.34</v>
      </c>
      <c r="I233" s="4">
        <v>0</v>
      </c>
    </row>
    <row r="234" spans="1:9" x14ac:dyDescent="0.15">
      <c r="A234" s="2">
        <v>10</v>
      </c>
      <c r="B234" s="1" t="s">
        <v>126</v>
      </c>
      <c r="C234" s="4">
        <v>60</v>
      </c>
      <c r="D234" s="8">
        <v>1.91</v>
      </c>
      <c r="E234" s="4">
        <v>10</v>
      </c>
      <c r="F234" s="8">
        <v>0.72</v>
      </c>
      <c r="G234" s="4">
        <v>50</v>
      </c>
      <c r="H234" s="8">
        <v>2.86</v>
      </c>
      <c r="I234" s="4">
        <v>0</v>
      </c>
    </row>
    <row r="235" spans="1:9" x14ac:dyDescent="0.15">
      <c r="A235" s="2">
        <v>11</v>
      </c>
      <c r="B235" s="1" t="s">
        <v>142</v>
      </c>
      <c r="C235" s="4">
        <v>56</v>
      </c>
      <c r="D235" s="8">
        <v>1.79</v>
      </c>
      <c r="E235" s="4">
        <v>43</v>
      </c>
      <c r="F235" s="8">
        <v>3.11</v>
      </c>
      <c r="G235" s="4">
        <v>13</v>
      </c>
      <c r="H235" s="8">
        <v>0.74</v>
      </c>
      <c r="I235" s="4">
        <v>0</v>
      </c>
    </row>
    <row r="236" spans="1:9" x14ac:dyDescent="0.15">
      <c r="A236" s="2">
        <v>12</v>
      </c>
      <c r="B236" s="1" t="s">
        <v>132</v>
      </c>
      <c r="C236" s="4">
        <v>54</v>
      </c>
      <c r="D236" s="8">
        <v>1.72</v>
      </c>
      <c r="E236" s="4">
        <v>33</v>
      </c>
      <c r="F236" s="8">
        <v>2.39</v>
      </c>
      <c r="G236" s="4">
        <v>21</v>
      </c>
      <c r="H236" s="8">
        <v>1.2</v>
      </c>
      <c r="I236" s="4">
        <v>0</v>
      </c>
    </row>
    <row r="237" spans="1:9" x14ac:dyDescent="0.15">
      <c r="A237" s="2">
        <v>13</v>
      </c>
      <c r="B237" s="1" t="s">
        <v>153</v>
      </c>
      <c r="C237" s="4">
        <v>49</v>
      </c>
      <c r="D237" s="8">
        <v>1.56</v>
      </c>
      <c r="E237" s="4">
        <v>16</v>
      </c>
      <c r="F237" s="8">
        <v>1.1599999999999999</v>
      </c>
      <c r="G237" s="4">
        <v>33</v>
      </c>
      <c r="H237" s="8">
        <v>1.89</v>
      </c>
      <c r="I237" s="4">
        <v>0</v>
      </c>
    </row>
    <row r="238" spans="1:9" x14ac:dyDescent="0.15">
      <c r="A238" s="2">
        <v>13</v>
      </c>
      <c r="B238" s="1" t="s">
        <v>147</v>
      </c>
      <c r="C238" s="4">
        <v>49</v>
      </c>
      <c r="D238" s="8">
        <v>1.56</v>
      </c>
      <c r="E238" s="4">
        <v>8</v>
      </c>
      <c r="F238" s="8">
        <v>0.57999999999999996</v>
      </c>
      <c r="G238" s="4">
        <v>41</v>
      </c>
      <c r="H238" s="8">
        <v>2.34</v>
      </c>
      <c r="I238" s="4">
        <v>0</v>
      </c>
    </row>
    <row r="239" spans="1:9" x14ac:dyDescent="0.15">
      <c r="A239" s="2">
        <v>15</v>
      </c>
      <c r="B239" s="1" t="s">
        <v>160</v>
      </c>
      <c r="C239" s="4">
        <v>48</v>
      </c>
      <c r="D239" s="8">
        <v>1.53</v>
      </c>
      <c r="E239" s="4">
        <v>13</v>
      </c>
      <c r="F239" s="8">
        <v>0.94</v>
      </c>
      <c r="G239" s="4">
        <v>35</v>
      </c>
      <c r="H239" s="8">
        <v>2</v>
      </c>
      <c r="I239" s="4">
        <v>0</v>
      </c>
    </row>
    <row r="240" spans="1:9" x14ac:dyDescent="0.15">
      <c r="A240" s="2">
        <v>15</v>
      </c>
      <c r="B240" s="1" t="s">
        <v>149</v>
      </c>
      <c r="C240" s="4">
        <v>48</v>
      </c>
      <c r="D240" s="8">
        <v>1.53</v>
      </c>
      <c r="E240" s="4">
        <v>1</v>
      </c>
      <c r="F240" s="8">
        <v>7.0000000000000007E-2</v>
      </c>
      <c r="G240" s="4">
        <v>47</v>
      </c>
      <c r="H240" s="8">
        <v>2.69</v>
      </c>
      <c r="I240" s="4">
        <v>0</v>
      </c>
    </row>
    <row r="241" spans="1:9" x14ac:dyDescent="0.15">
      <c r="A241" s="2">
        <v>15</v>
      </c>
      <c r="B241" s="1" t="s">
        <v>135</v>
      </c>
      <c r="C241" s="4">
        <v>48</v>
      </c>
      <c r="D241" s="8">
        <v>1.53</v>
      </c>
      <c r="E241" s="4">
        <v>40</v>
      </c>
      <c r="F241" s="8">
        <v>2.89</v>
      </c>
      <c r="G241" s="4">
        <v>8</v>
      </c>
      <c r="H241" s="8">
        <v>0.46</v>
      </c>
      <c r="I241" s="4">
        <v>0</v>
      </c>
    </row>
    <row r="242" spans="1:9" x14ac:dyDescent="0.15">
      <c r="A242" s="2">
        <v>18</v>
      </c>
      <c r="B242" s="1" t="s">
        <v>127</v>
      </c>
      <c r="C242" s="4">
        <v>47</v>
      </c>
      <c r="D242" s="8">
        <v>1.5</v>
      </c>
      <c r="E242" s="4">
        <v>14</v>
      </c>
      <c r="F242" s="8">
        <v>1.01</v>
      </c>
      <c r="G242" s="4">
        <v>33</v>
      </c>
      <c r="H242" s="8">
        <v>1.89</v>
      </c>
      <c r="I242" s="4">
        <v>0</v>
      </c>
    </row>
    <row r="243" spans="1:9" x14ac:dyDescent="0.15">
      <c r="A243" s="2">
        <v>19</v>
      </c>
      <c r="B243" s="1" t="s">
        <v>128</v>
      </c>
      <c r="C243" s="4">
        <v>42</v>
      </c>
      <c r="D243" s="8">
        <v>1.34</v>
      </c>
      <c r="E243" s="4">
        <v>15</v>
      </c>
      <c r="F243" s="8">
        <v>1.08</v>
      </c>
      <c r="G243" s="4">
        <v>27</v>
      </c>
      <c r="H243" s="8">
        <v>1.54</v>
      </c>
      <c r="I243" s="4">
        <v>0</v>
      </c>
    </row>
    <row r="244" spans="1:9" x14ac:dyDescent="0.15">
      <c r="A244" s="2">
        <v>19</v>
      </c>
      <c r="B244" s="1" t="s">
        <v>139</v>
      </c>
      <c r="C244" s="4">
        <v>42</v>
      </c>
      <c r="D244" s="8">
        <v>1.34</v>
      </c>
      <c r="E244" s="4">
        <v>17</v>
      </c>
      <c r="F244" s="8">
        <v>1.23</v>
      </c>
      <c r="G244" s="4">
        <v>25</v>
      </c>
      <c r="H244" s="8">
        <v>1.43</v>
      </c>
      <c r="I244" s="4">
        <v>0</v>
      </c>
    </row>
    <row r="245" spans="1:9" x14ac:dyDescent="0.15">
      <c r="A245" s="1"/>
      <c r="C245" s="4"/>
      <c r="D245" s="8"/>
      <c r="E245" s="4"/>
      <c r="F245" s="8"/>
      <c r="G245" s="4"/>
      <c r="H245" s="8"/>
      <c r="I245" s="4"/>
    </row>
    <row r="246" spans="1:9" x14ac:dyDescent="0.15">
      <c r="A246" s="1" t="s">
        <v>11</v>
      </c>
      <c r="C246" s="4"/>
      <c r="D246" s="8"/>
      <c r="E246" s="4"/>
      <c r="F246" s="8"/>
      <c r="G246" s="4"/>
      <c r="H246" s="8"/>
      <c r="I246" s="4"/>
    </row>
    <row r="247" spans="1:9" x14ac:dyDescent="0.15">
      <c r="A247" s="2">
        <v>1</v>
      </c>
      <c r="B247" s="1" t="s">
        <v>141</v>
      </c>
      <c r="C247" s="4">
        <v>697</v>
      </c>
      <c r="D247" s="8">
        <v>5.07</v>
      </c>
      <c r="E247" s="4">
        <v>639</v>
      </c>
      <c r="F247" s="8">
        <v>7.71</v>
      </c>
      <c r="G247" s="4">
        <v>58</v>
      </c>
      <c r="H247" s="8">
        <v>1.07</v>
      </c>
      <c r="I247" s="4">
        <v>0</v>
      </c>
    </row>
    <row r="248" spans="1:9" x14ac:dyDescent="0.15">
      <c r="A248" s="2">
        <v>2</v>
      </c>
      <c r="B248" s="1" t="s">
        <v>137</v>
      </c>
      <c r="C248" s="4">
        <v>474</v>
      </c>
      <c r="D248" s="8">
        <v>3.45</v>
      </c>
      <c r="E248" s="4">
        <v>468</v>
      </c>
      <c r="F248" s="8">
        <v>5.65</v>
      </c>
      <c r="G248" s="4">
        <v>6</v>
      </c>
      <c r="H248" s="8">
        <v>0.11</v>
      </c>
      <c r="I248" s="4">
        <v>0</v>
      </c>
    </row>
    <row r="249" spans="1:9" x14ac:dyDescent="0.15">
      <c r="A249" s="2">
        <v>3</v>
      </c>
      <c r="B249" s="1" t="s">
        <v>134</v>
      </c>
      <c r="C249" s="4">
        <v>460</v>
      </c>
      <c r="D249" s="8">
        <v>3.35</v>
      </c>
      <c r="E249" s="4">
        <v>351</v>
      </c>
      <c r="F249" s="8">
        <v>4.24</v>
      </c>
      <c r="G249" s="4">
        <v>109</v>
      </c>
      <c r="H249" s="8">
        <v>2.0099999999999998</v>
      </c>
      <c r="I249" s="4">
        <v>0</v>
      </c>
    </row>
    <row r="250" spans="1:9" x14ac:dyDescent="0.15">
      <c r="A250" s="2">
        <v>4</v>
      </c>
      <c r="B250" s="1" t="s">
        <v>138</v>
      </c>
      <c r="C250" s="4">
        <v>443</v>
      </c>
      <c r="D250" s="8">
        <v>3.23</v>
      </c>
      <c r="E250" s="4">
        <v>417</v>
      </c>
      <c r="F250" s="8">
        <v>5.03</v>
      </c>
      <c r="G250" s="4">
        <v>26</v>
      </c>
      <c r="H250" s="8">
        <v>0.48</v>
      </c>
      <c r="I250" s="4">
        <v>0</v>
      </c>
    </row>
    <row r="251" spans="1:9" x14ac:dyDescent="0.15">
      <c r="A251" s="2">
        <v>5</v>
      </c>
      <c r="B251" s="1" t="s">
        <v>132</v>
      </c>
      <c r="C251" s="4">
        <v>423</v>
      </c>
      <c r="D251" s="8">
        <v>3.08</v>
      </c>
      <c r="E251" s="4">
        <v>317</v>
      </c>
      <c r="F251" s="8">
        <v>3.83</v>
      </c>
      <c r="G251" s="4">
        <v>106</v>
      </c>
      <c r="H251" s="8">
        <v>1.95</v>
      </c>
      <c r="I251" s="4">
        <v>0</v>
      </c>
    </row>
    <row r="252" spans="1:9" x14ac:dyDescent="0.15">
      <c r="A252" s="2">
        <v>6</v>
      </c>
      <c r="B252" s="1" t="s">
        <v>140</v>
      </c>
      <c r="C252" s="4">
        <v>364</v>
      </c>
      <c r="D252" s="8">
        <v>2.65</v>
      </c>
      <c r="E252" s="4">
        <v>354</v>
      </c>
      <c r="F252" s="8">
        <v>4.2699999999999996</v>
      </c>
      <c r="G252" s="4">
        <v>10</v>
      </c>
      <c r="H252" s="8">
        <v>0.18</v>
      </c>
      <c r="I252" s="4">
        <v>0</v>
      </c>
    </row>
    <row r="253" spans="1:9" x14ac:dyDescent="0.15">
      <c r="A253" s="2">
        <v>7</v>
      </c>
      <c r="B253" s="1" t="s">
        <v>143</v>
      </c>
      <c r="C253" s="4">
        <v>351</v>
      </c>
      <c r="D253" s="8">
        <v>2.56</v>
      </c>
      <c r="E253" s="4">
        <v>293</v>
      </c>
      <c r="F253" s="8">
        <v>3.54</v>
      </c>
      <c r="G253" s="4">
        <v>55</v>
      </c>
      <c r="H253" s="8">
        <v>1.01</v>
      </c>
      <c r="I253" s="4">
        <v>3</v>
      </c>
    </row>
    <row r="254" spans="1:9" x14ac:dyDescent="0.15">
      <c r="A254" s="2">
        <v>8</v>
      </c>
      <c r="B254" s="1" t="s">
        <v>125</v>
      </c>
      <c r="C254" s="4">
        <v>342</v>
      </c>
      <c r="D254" s="8">
        <v>2.4900000000000002</v>
      </c>
      <c r="E254" s="4">
        <v>91</v>
      </c>
      <c r="F254" s="8">
        <v>1.1000000000000001</v>
      </c>
      <c r="G254" s="4">
        <v>251</v>
      </c>
      <c r="H254" s="8">
        <v>4.62</v>
      </c>
      <c r="I254" s="4">
        <v>0</v>
      </c>
    </row>
    <row r="255" spans="1:9" x14ac:dyDescent="0.15">
      <c r="A255" s="2">
        <v>9</v>
      </c>
      <c r="B255" s="1" t="s">
        <v>135</v>
      </c>
      <c r="C255" s="4">
        <v>303</v>
      </c>
      <c r="D255" s="8">
        <v>2.21</v>
      </c>
      <c r="E255" s="4">
        <v>274</v>
      </c>
      <c r="F255" s="8">
        <v>3.31</v>
      </c>
      <c r="G255" s="4">
        <v>29</v>
      </c>
      <c r="H255" s="8">
        <v>0.53</v>
      </c>
      <c r="I255" s="4">
        <v>0</v>
      </c>
    </row>
    <row r="256" spans="1:9" x14ac:dyDescent="0.15">
      <c r="A256" s="2">
        <v>10</v>
      </c>
      <c r="B256" s="1" t="s">
        <v>136</v>
      </c>
      <c r="C256" s="4">
        <v>289</v>
      </c>
      <c r="D256" s="8">
        <v>2.1</v>
      </c>
      <c r="E256" s="4">
        <v>272</v>
      </c>
      <c r="F256" s="8">
        <v>3.28</v>
      </c>
      <c r="G256" s="4">
        <v>17</v>
      </c>
      <c r="H256" s="8">
        <v>0.31</v>
      </c>
      <c r="I256" s="4">
        <v>0</v>
      </c>
    </row>
    <row r="257" spans="1:9" x14ac:dyDescent="0.15">
      <c r="A257" s="2">
        <v>11</v>
      </c>
      <c r="B257" s="1" t="s">
        <v>144</v>
      </c>
      <c r="C257" s="4">
        <v>257</v>
      </c>
      <c r="D257" s="8">
        <v>1.87</v>
      </c>
      <c r="E257" s="4">
        <v>239</v>
      </c>
      <c r="F257" s="8">
        <v>2.89</v>
      </c>
      <c r="G257" s="4">
        <v>17</v>
      </c>
      <c r="H257" s="8">
        <v>0.31</v>
      </c>
      <c r="I257" s="4">
        <v>1</v>
      </c>
    </row>
    <row r="258" spans="1:9" x14ac:dyDescent="0.15">
      <c r="A258" s="2">
        <v>12</v>
      </c>
      <c r="B258" s="1" t="s">
        <v>130</v>
      </c>
      <c r="C258" s="4">
        <v>239</v>
      </c>
      <c r="D258" s="8">
        <v>1.74</v>
      </c>
      <c r="E258" s="4">
        <v>158</v>
      </c>
      <c r="F258" s="8">
        <v>1.91</v>
      </c>
      <c r="G258" s="4">
        <v>81</v>
      </c>
      <c r="H258" s="8">
        <v>1.49</v>
      </c>
      <c r="I258" s="4">
        <v>0</v>
      </c>
    </row>
    <row r="259" spans="1:9" x14ac:dyDescent="0.15">
      <c r="A259" s="2">
        <v>13</v>
      </c>
      <c r="B259" s="1" t="s">
        <v>128</v>
      </c>
      <c r="C259" s="4">
        <v>227</v>
      </c>
      <c r="D259" s="8">
        <v>1.65</v>
      </c>
      <c r="E259" s="4">
        <v>114</v>
      </c>
      <c r="F259" s="8">
        <v>1.38</v>
      </c>
      <c r="G259" s="4">
        <v>113</v>
      </c>
      <c r="H259" s="8">
        <v>2.08</v>
      </c>
      <c r="I259" s="4">
        <v>0</v>
      </c>
    </row>
    <row r="260" spans="1:9" x14ac:dyDescent="0.15">
      <c r="A260" s="2">
        <v>14</v>
      </c>
      <c r="B260" s="1" t="s">
        <v>142</v>
      </c>
      <c r="C260" s="4">
        <v>217</v>
      </c>
      <c r="D260" s="8">
        <v>1.58</v>
      </c>
      <c r="E260" s="4">
        <v>173</v>
      </c>
      <c r="F260" s="8">
        <v>2.09</v>
      </c>
      <c r="G260" s="4">
        <v>44</v>
      </c>
      <c r="H260" s="8">
        <v>0.81</v>
      </c>
      <c r="I260" s="4">
        <v>0</v>
      </c>
    </row>
    <row r="261" spans="1:9" x14ac:dyDescent="0.15">
      <c r="A261" s="2">
        <v>15</v>
      </c>
      <c r="B261" s="1" t="s">
        <v>127</v>
      </c>
      <c r="C261" s="4">
        <v>210</v>
      </c>
      <c r="D261" s="8">
        <v>1.53</v>
      </c>
      <c r="E261" s="4">
        <v>77</v>
      </c>
      <c r="F261" s="8">
        <v>0.93</v>
      </c>
      <c r="G261" s="4">
        <v>133</v>
      </c>
      <c r="H261" s="8">
        <v>2.4500000000000002</v>
      </c>
      <c r="I261" s="4">
        <v>0</v>
      </c>
    </row>
    <row r="262" spans="1:9" x14ac:dyDescent="0.15">
      <c r="A262" s="2">
        <v>16</v>
      </c>
      <c r="B262" s="1" t="s">
        <v>166</v>
      </c>
      <c r="C262" s="4">
        <v>208</v>
      </c>
      <c r="D262" s="8">
        <v>1.51</v>
      </c>
      <c r="E262" s="4">
        <v>169</v>
      </c>
      <c r="F262" s="8">
        <v>2.04</v>
      </c>
      <c r="G262" s="4">
        <v>39</v>
      </c>
      <c r="H262" s="8">
        <v>0.72</v>
      </c>
      <c r="I262" s="4">
        <v>0</v>
      </c>
    </row>
    <row r="263" spans="1:9" x14ac:dyDescent="0.15">
      <c r="A263" s="2">
        <v>17</v>
      </c>
      <c r="B263" s="1" t="s">
        <v>129</v>
      </c>
      <c r="C263" s="4">
        <v>200</v>
      </c>
      <c r="D263" s="8">
        <v>1.46</v>
      </c>
      <c r="E263" s="4">
        <v>147</v>
      </c>
      <c r="F263" s="8">
        <v>1.77</v>
      </c>
      <c r="G263" s="4">
        <v>53</v>
      </c>
      <c r="H263" s="8">
        <v>0.98</v>
      </c>
      <c r="I263" s="4">
        <v>0</v>
      </c>
    </row>
    <row r="264" spans="1:9" x14ac:dyDescent="0.15">
      <c r="A264" s="2">
        <v>18</v>
      </c>
      <c r="B264" s="1" t="s">
        <v>126</v>
      </c>
      <c r="C264" s="4">
        <v>197</v>
      </c>
      <c r="D264" s="8">
        <v>1.43</v>
      </c>
      <c r="E264" s="4">
        <v>46</v>
      </c>
      <c r="F264" s="8">
        <v>0.56000000000000005</v>
      </c>
      <c r="G264" s="4">
        <v>151</v>
      </c>
      <c r="H264" s="8">
        <v>2.78</v>
      </c>
      <c r="I264" s="4">
        <v>0</v>
      </c>
    </row>
    <row r="265" spans="1:9" x14ac:dyDescent="0.15">
      <c r="A265" s="2">
        <v>19</v>
      </c>
      <c r="B265" s="1" t="s">
        <v>139</v>
      </c>
      <c r="C265" s="4">
        <v>188</v>
      </c>
      <c r="D265" s="8">
        <v>1.37</v>
      </c>
      <c r="E265" s="4">
        <v>74</v>
      </c>
      <c r="F265" s="8">
        <v>0.89</v>
      </c>
      <c r="G265" s="4">
        <v>114</v>
      </c>
      <c r="H265" s="8">
        <v>2.1</v>
      </c>
      <c r="I265" s="4">
        <v>0</v>
      </c>
    </row>
    <row r="266" spans="1:9" x14ac:dyDescent="0.15">
      <c r="A266" s="2">
        <v>20</v>
      </c>
      <c r="B266" s="1" t="s">
        <v>131</v>
      </c>
      <c r="C266" s="4">
        <v>173</v>
      </c>
      <c r="D266" s="8">
        <v>1.26</v>
      </c>
      <c r="E266" s="4">
        <v>90</v>
      </c>
      <c r="F266" s="8">
        <v>1.0900000000000001</v>
      </c>
      <c r="G266" s="4">
        <v>83</v>
      </c>
      <c r="H266" s="8">
        <v>1.53</v>
      </c>
      <c r="I266" s="4">
        <v>0</v>
      </c>
    </row>
    <row r="267" spans="1:9" x14ac:dyDescent="0.15">
      <c r="A267" s="1"/>
      <c r="C267" s="4"/>
      <c r="D267" s="8"/>
      <c r="E267" s="4"/>
      <c r="F267" s="8"/>
      <c r="G267" s="4"/>
      <c r="H267" s="8"/>
      <c r="I267" s="4"/>
    </row>
    <row r="268" spans="1:9" x14ac:dyDescent="0.15">
      <c r="A268" s="1" t="s">
        <v>12</v>
      </c>
      <c r="C268" s="4"/>
      <c r="D268" s="8"/>
      <c r="E268" s="4"/>
      <c r="F268" s="8"/>
      <c r="G268" s="4"/>
      <c r="H268" s="8"/>
      <c r="I268" s="4"/>
    </row>
    <row r="269" spans="1:9" x14ac:dyDescent="0.15">
      <c r="A269" s="2">
        <v>1</v>
      </c>
      <c r="B269" s="1" t="s">
        <v>141</v>
      </c>
      <c r="C269" s="4">
        <v>492</v>
      </c>
      <c r="D269" s="8">
        <v>4.9000000000000004</v>
      </c>
      <c r="E269" s="4">
        <v>439</v>
      </c>
      <c r="F269" s="8">
        <v>7.47</v>
      </c>
      <c r="G269" s="4">
        <v>53</v>
      </c>
      <c r="H269" s="8">
        <v>1.28</v>
      </c>
      <c r="I269" s="4">
        <v>0</v>
      </c>
    </row>
    <row r="270" spans="1:9" x14ac:dyDescent="0.15">
      <c r="A270" s="2">
        <v>2</v>
      </c>
      <c r="B270" s="1" t="s">
        <v>136</v>
      </c>
      <c r="C270" s="4">
        <v>411</v>
      </c>
      <c r="D270" s="8">
        <v>4.09</v>
      </c>
      <c r="E270" s="4">
        <v>395</v>
      </c>
      <c r="F270" s="8">
        <v>6.72</v>
      </c>
      <c r="G270" s="4">
        <v>16</v>
      </c>
      <c r="H270" s="8">
        <v>0.39</v>
      </c>
      <c r="I270" s="4">
        <v>0</v>
      </c>
    </row>
    <row r="271" spans="1:9" x14ac:dyDescent="0.15">
      <c r="A271" s="2">
        <v>3</v>
      </c>
      <c r="B271" s="1" t="s">
        <v>134</v>
      </c>
      <c r="C271" s="4">
        <v>410</v>
      </c>
      <c r="D271" s="8">
        <v>4.08</v>
      </c>
      <c r="E271" s="4">
        <v>191</v>
      </c>
      <c r="F271" s="8">
        <v>3.25</v>
      </c>
      <c r="G271" s="4">
        <v>219</v>
      </c>
      <c r="H271" s="8">
        <v>5.28</v>
      </c>
      <c r="I271" s="4">
        <v>0</v>
      </c>
    </row>
    <row r="272" spans="1:9" x14ac:dyDescent="0.15">
      <c r="A272" s="2">
        <v>4</v>
      </c>
      <c r="B272" s="1" t="s">
        <v>138</v>
      </c>
      <c r="C272" s="4">
        <v>376</v>
      </c>
      <c r="D272" s="8">
        <v>3.75</v>
      </c>
      <c r="E272" s="4">
        <v>361</v>
      </c>
      <c r="F272" s="8">
        <v>6.14</v>
      </c>
      <c r="G272" s="4">
        <v>14</v>
      </c>
      <c r="H272" s="8">
        <v>0.34</v>
      </c>
      <c r="I272" s="4">
        <v>1</v>
      </c>
    </row>
    <row r="273" spans="1:9" x14ac:dyDescent="0.15">
      <c r="A273" s="2">
        <v>5</v>
      </c>
      <c r="B273" s="1" t="s">
        <v>144</v>
      </c>
      <c r="C273" s="4">
        <v>292</v>
      </c>
      <c r="D273" s="8">
        <v>2.91</v>
      </c>
      <c r="E273" s="4">
        <v>265</v>
      </c>
      <c r="F273" s="8">
        <v>4.51</v>
      </c>
      <c r="G273" s="4">
        <v>27</v>
      </c>
      <c r="H273" s="8">
        <v>0.65</v>
      </c>
      <c r="I273" s="4">
        <v>0</v>
      </c>
    </row>
    <row r="274" spans="1:9" x14ac:dyDescent="0.15">
      <c r="A274" s="2">
        <v>6</v>
      </c>
      <c r="B274" s="1" t="s">
        <v>137</v>
      </c>
      <c r="C274" s="4">
        <v>277</v>
      </c>
      <c r="D274" s="8">
        <v>2.76</v>
      </c>
      <c r="E274" s="4">
        <v>270</v>
      </c>
      <c r="F274" s="8">
        <v>4.59</v>
      </c>
      <c r="G274" s="4">
        <v>7</v>
      </c>
      <c r="H274" s="8">
        <v>0.17</v>
      </c>
      <c r="I274" s="4">
        <v>0</v>
      </c>
    </row>
    <row r="275" spans="1:9" x14ac:dyDescent="0.15">
      <c r="A275" s="2">
        <v>7</v>
      </c>
      <c r="B275" s="1" t="s">
        <v>140</v>
      </c>
      <c r="C275" s="4">
        <v>275</v>
      </c>
      <c r="D275" s="8">
        <v>2.74</v>
      </c>
      <c r="E275" s="4">
        <v>267</v>
      </c>
      <c r="F275" s="8">
        <v>4.54</v>
      </c>
      <c r="G275" s="4">
        <v>8</v>
      </c>
      <c r="H275" s="8">
        <v>0.19</v>
      </c>
      <c r="I275" s="4">
        <v>0</v>
      </c>
    </row>
    <row r="276" spans="1:9" x14ac:dyDescent="0.15">
      <c r="A276" s="2">
        <v>8</v>
      </c>
      <c r="B276" s="1" t="s">
        <v>132</v>
      </c>
      <c r="C276" s="4">
        <v>270</v>
      </c>
      <c r="D276" s="8">
        <v>2.69</v>
      </c>
      <c r="E276" s="4">
        <v>220</v>
      </c>
      <c r="F276" s="8">
        <v>3.74</v>
      </c>
      <c r="G276" s="4">
        <v>50</v>
      </c>
      <c r="H276" s="8">
        <v>1.21</v>
      </c>
      <c r="I276" s="4">
        <v>0</v>
      </c>
    </row>
    <row r="277" spans="1:9" x14ac:dyDescent="0.15">
      <c r="A277" s="2">
        <v>9</v>
      </c>
      <c r="B277" s="1" t="s">
        <v>135</v>
      </c>
      <c r="C277" s="4">
        <v>259</v>
      </c>
      <c r="D277" s="8">
        <v>2.58</v>
      </c>
      <c r="E277" s="4">
        <v>232</v>
      </c>
      <c r="F277" s="8">
        <v>3.95</v>
      </c>
      <c r="G277" s="4">
        <v>27</v>
      </c>
      <c r="H277" s="8">
        <v>0.65</v>
      </c>
      <c r="I277" s="4">
        <v>0</v>
      </c>
    </row>
    <row r="278" spans="1:9" x14ac:dyDescent="0.15">
      <c r="A278" s="2">
        <v>10</v>
      </c>
      <c r="B278" s="1" t="s">
        <v>143</v>
      </c>
      <c r="C278" s="4">
        <v>229</v>
      </c>
      <c r="D278" s="8">
        <v>2.2799999999999998</v>
      </c>
      <c r="E278" s="4">
        <v>181</v>
      </c>
      <c r="F278" s="8">
        <v>3.08</v>
      </c>
      <c r="G278" s="4">
        <v>46</v>
      </c>
      <c r="H278" s="8">
        <v>1.1100000000000001</v>
      </c>
      <c r="I278" s="4">
        <v>2</v>
      </c>
    </row>
    <row r="279" spans="1:9" x14ac:dyDescent="0.15">
      <c r="A279" s="2">
        <v>11</v>
      </c>
      <c r="B279" s="1" t="s">
        <v>129</v>
      </c>
      <c r="C279" s="4">
        <v>204</v>
      </c>
      <c r="D279" s="8">
        <v>2.0299999999999998</v>
      </c>
      <c r="E279" s="4">
        <v>143</v>
      </c>
      <c r="F279" s="8">
        <v>2.4300000000000002</v>
      </c>
      <c r="G279" s="4">
        <v>61</v>
      </c>
      <c r="H279" s="8">
        <v>1.47</v>
      </c>
      <c r="I279" s="4">
        <v>0</v>
      </c>
    </row>
    <row r="280" spans="1:9" x14ac:dyDescent="0.15">
      <c r="A280" s="2">
        <v>12</v>
      </c>
      <c r="B280" s="1" t="s">
        <v>151</v>
      </c>
      <c r="C280" s="4">
        <v>179</v>
      </c>
      <c r="D280" s="8">
        <v>1.78</v>
      </c>
      <c r="E280" s="4">
        <v>174</v>
      </c>
      <c r="F280" s="8">
        <v>2.96</v>
      </c>
      <c r="G280" s="4">
        <v>5</v>
      </c>
      <c r="H280" s="8">
        <v>0.12</v>
      </c>
      <c r="I280" s="4">
        <v>0</v>
      </c>
    </row>
    <row r="281" spans="1:9" x14ac:dyDescent="0.15">
      <c r="A281" s="2">
        <v>13</v>
      </c>
      <c r="B281" s="1" t="s">
        <v>128</v>
      </c>
      <c r="C281" s="4">
        <v>170</v>
      </c>
      <c r="D281" s="8">
        <v>1.69</v>
      </c>
      <c r="E281" s="4">
        <v>99</v>
      </c>
      <c r="F281" s="8">
        <v>1.68</v>
      </c>
      <c r="G281" s="4">
        <v>71</v>
      </c>
      <c r="H281" s="8">
        <v>1.71</v>
      </c>
      <c r="I281" s="4">
        <v>0</v>
      </c>
    </row>
    <row r="282" spans="1:9" x14ac:dyDescent="0.15">
      <c r="A282" s="2">
        <v>14</v>
      </c>
      <c r="B282" s="1" t="s">
        <v>149</v>
      </c>
      <c r="C282" s="4">
        <v>158</v>
      </c>
      <c r="D282" s="8">
        <v>1.57</v>
      </c>
      <c r="E282" s="4">
        <v>18</v>
      </c>
      <c r="F282" s="8">
        <v>0.31</v>
      </c>
      <c r="G282" s="4">
        <v>140</v>
      </c>
      <c r="H282" s="8">
        <v>3.38</v>
      </c>
      <c r="I282" s="4">
        <v>0</v>
      </c>
    </row>
    <row r="283" spans="1:9" x14ac:dyDescent="0.15">
      <c r="A283" s="2">
        <v>15</v>
      </c>
      <c r="B283" s="1" t="s">
        <v>133</v>
      </c>
      <c r="C283" s="4">
        <v>157</v>
      </c>
      <c r="D283" s="8">
        <v>1.56</v>
      </c>
      <c r="E283" s="4">
        <v>42</v>
      </c>
      <c r="F283" s="8">
        <v>0.71</v>
      </c>
      <c r="G283" s="4">
        <v>115</v>
      </c>
      <c r="H283" s="8">
        <v>2.77</v>
      </c>
      <c r="I283" s="4">
        <v>0</v>
      </c>
    </row>
    <row r="284" spans="1:9" x14ac:dyDescent="0.15">
      <c r="A284" s="2">
        <v>15</v>
      </c>
      <c r="B284" s="1" t="s">
        <v>139</v>
      </c>
      <c r="C284" s="4">
        <v>157</v>
      </c>
      <c r="D284" s="8">
        <v>1.56</v>
      </c>
      <c r="E284" s="4">
        <v>100</v>
      </c>
      <c r="F284" s="8">
        <v>1.7</v>
      </c>
      <c r="G284" s="4">
        <v>57</v>
      </c>
      <c r="H284" s="8">
        <v>1.37</v>
      </c>
      <c r="I284" s="4">
        <v>0</v>
      </c>
    </row>
    <row r="285" spans="1:9" x14ac:dyDescent="0.15">
      <c r="A285" s="2">
        <v>17</v>
      </c>
      <c r="B285" s="1" t="s">
        <v>160</v>
      </c>
      <c r="C285" s="4">
        <v>139</v>
      </c>
      <c r="D285" s="8">
        <v>1.38</v>
      </c>
      <c r="E285" s="4">
        <v>23</v>
      </c>
      <c r="F285" s="8">
        <v>0.39</v>
      </c>
      <c r="G285" s="4">
        <v>116</v>
      </c>
      <c r="H285" s="8">
        <v>2.8</v>
      </c>
      <c r="I285" s="4">
        <v>0</v>
      </c>
    </row>
    <row r="286" spans="1:9" x14ac:dyDescent="0.15">
      <c r="A286" s="2">
        <v>18</v>
      </c>
      <c r="B286" s="1" t="s">
        <v>127</v>
      </c>
      <c r="C286" s="4">
        <v>138</v>
      </c>
      <c r="D286" s="8">
        <v>1.37</v>
      </c>
      <c r="E286" s="4">
        <v>28</v>
      </c>
      <c r="F286" s="8">
        <v>0.48</v>
      </c>
      <c r="G286" s="4">
        <v>110</v>
      </c>
      <c r="H286" s="8">
        <v>2.65</v>
      </c>
      <c r="I286" s="4">
        <v>0</v>
      </c>
    </row>
    <row r="287" spans="1:9" x14ac:dyDescent="0.15">
      <c r="A287" s="2">
        <v>19</v>
      </c>
      <c r="B287" s="1" t="s">
        <v>155</v>
      </c>
      <c r="C287" s="4">
        <v>131</v>
      </c>
      <c r="D287" s="8">
        <v>1.31</v>
      </c>
      <c r="E287" s="4">
        <v>102</v>
      </c>
      <c r="F287" s="8">
        <v>1.73</v>
      </c>
      <c r="G287" s="4">
        <v>29</v>
      </c>
      <c r="H287" s="8">
        <v>0.7</v>
      </c>
      <c r="I287" s="4">
        <v>0</v>
      </c>
    </row>
    <row r="288" spans="1:9" x14ac:dyDescent="0.15">
      <c r="A288" s="2">
        <v>19</v>
      </c>
      <c r="B288" s="1" t="s">
        <v>130</v>
      </c>
      <c r="C288" s="4">
        <v>131</v>
      </c>
      <c r="D288" s="8">
        <v>1.31</v>
      </c>
      <c r="E288" s="4">
        <v>84</v>
      </c>
      <c r="F288" s="8">
        <v>1.43</v>
      </c>
      <c r="G288" s="4">
        <v>47</v>
      </c>
      <c r="H288" s="8">
        <v>1.1299999999999999</v>
      </c>
      <c r="I288" s="4">
        <v>0</v>
      </c>
    </row>
    <row r="289" spans="1:9" x14ac:dyDescent="0.15">
      <c r="A289" s="1"/>
      <c r="C289" s="4"/>
      <c r="D289" s="8"/>
      <c r="E289" s="4"/>
      <c r="F289" s="8"/>
      <c r="G289" s="4"/>
      <c r="H289" s="8"/>
      <c r="I289" s="4"/>
    </row>
    <row r="290" spans="1:9" x14ac:dyDescent="0.15">
      <c r="A290" s="1" t="s">
        <v>13</v>
      </c>
      <c r="C290" s="4"/>
      <c r="D290" s="8"/>
      <c r="E290" s="4"/>
      <c r="F290" s="8"/>
      <c r="G290" s="4"/>
      <c r="H290" s="8"/>
      <c r="I290" s="4"/>
    </row>
    <row r="291" spans="1:9" x14ac:dyDescent="0.15">
      <c r="A291" s="2">
        <v>1</v>
      </c>
      <c r="B291" s="1" t="s">
        <v>141</v>
      </c>
      <c r="C291" s="4">
        <v>298</v>
      </c>
      <c r="D291" s="8">
        <v>6.08</v>
      </c>
      <c r="E291" s="4">
        <v>273</v>
      </c>
      <c r="F291" s="8">
        <v>9.33</v>
      </c>
      <c r="G291" s="4">
        <v>25</v>
      </c>
      <c r="H291" s="8">
        <v>1.27</v>
      </c>
      <c r="I291" s="4">
        <v>0</v>
      </c>
    </row>
    <row r="292" spans="1:9" x14ac:dyDescent="0.15">
      <c r="A292" s="2">
        <v>2</v>
      </c>
      <c r="B292" s="1" t="s">
        <v>138</v>
      </c>
      <c r="C292" s="4">
        <v>184</v>
      </c>
      <c r="D292" s="8">
        <v>3.76</v>
      </c>
      <c r="E292" s="4">
        <v>174</v>
      </c>
      <c r="F292" s="8">
        <v>5.95</v>
      </c>
      <c r="G292" s="4">
        <v>10</v>
      </c>
      <c r="H292" s="8">
        <v>0.51</v>
      </c>
      <c r="I292" s="4">
        <v>0</v>
      </c>
    </row>
    <row r="293" spans="1:9" x14ac:dyDescent="0.15">
      <c r="A293" s="2">
        <v>3</v>
      </c>
      <c r="B293" s="1" t="s">
        <v>140</v>
      </c>
      <c r="C293" s="4">
        <v>165</v>
      </c>
      <c r="D293" s="8">
        <v>3.37</v>
      </c>
      <c r="E293" s="4">
        <v>154</v>
      </c>
      <c r="F293" s="8">
        <v>5.26</v>
      </c>
      <c r="G293" s="4">
        <v>11</v>
      </c>
      <c r="H293" s="8">
        <v>0.56000000000000005</v>
      </c>
      <c r="I293" s="4">
        <v>0</v>
      </c>
    </row>
    <row r="294" spans="1:9" x14ac:dyDescent="0.15">
      <c r="A294" s="2">
        <v>4</v>
      </c>
      <c r="B294" s="1" t="s">
        <v>143</v>
      </c>
      <c r="C294" s="4">
        <v>160</v>
      </c>
      <c r="D294" s="8">
        <v>3.27</v>
      </c>
      <c r="E294" s="4">
        <v>132</v>
      </c>
      <c r="F294" s="8">
        <v>4.51</v>
      </c>
      <c r="G294" s="4">
        <v>27</v>
      </c>
      <c r="H294" s="8">
        <v>1.37</v>
      </c>
      <c r="I294" s="4">
        <v>1</v>
      </c>
    </row>
    <row r="295" spans="1:9" x14ac:dyDescent="0.15">
      <c r="A295" s="2">
        <v>5</v>
      </c>
      <c r="B295" s="1" t="s">
        <v>136</v>
      </c>
      <c r="C295" s="4">
        <v>159</v>
      </c>
      <c r="D295" s="8">
        <v>3.25</v>
      </c>
      <c r="E295" s="4">
        <v>151</v>
      </c>
      <c r="F295" s="8">
        <v>5.16</v>
      </c>
      <c r="G295" s="4">
        <v>8</v>
      </c>
      <c r="H295" s="8">
        <v>0.41</v>
      </c>
      <c r="I295" s="4">
        <v>0</v>
      </c>
    </row>
    <row r="296" spans="1:9" x14ac:dyDescent="0.15">
      <c r="A296" s="2">
        <v>6</v>
      </c>
      <c r="B296" s="1" t="s">
        <v>132</v>
      </c>
      <c r="C296" s="4">
        <v>149</v>
      </c>
      <c r="D296" s="8">
        <v>3.04</v>
      </c>
      <c r="E296" s="4">
        <v>104</v>
      </c>
      <c r="F296" s="8">
        <v>3.55</v>
      </c>
      <c r="G296" s="4">
        <v>45</v>
      </c>
      <c r="H296" s="8">
        <v>2.29</v>
      </c>
      <c r="I296" s="4">
        <v>0</v>
      </c>
    </row>
    <row r="297" spans="1:9" x14ac:dyDescent="0.15">
      <c r="A297" s="2">
        <v>7</v>
      </c>
      <c r="B297" s="1" t="s">
        <v>144</v>
      </c>
      <c r="C297" s="4">
        <v>146</v>
      </c>
      <c r="D297" s="8">
        <v>2.98</v>
      </c>
      <c r="E297" s="4">
        <v>134</v>
      </c>
      <c r="F297" s="8">
        <v>4.58</v>
      </c>
      <c r="G297" s="4">
        <v>12</v>
      </c>
      <c r="H297" s="8">
        <v>0.61</v>
      </c>
      <c r="I297" s="4">
        <v>0</v>
      </c>
    </row>
    <row r="298" spans="1:9" x14ac:dyDescent="0.15">
      <c r="A298" s="2">
        <v>8</v>
      </c>
      <c r="B298" s="1" t="s">
        <v>137</v>
      </c>
      <c r="C298" s="4">
        <v>123</v>
      </c>
      <c r="D298" s="8">
        <v>2.5099999999999998</v>
      </c>
      <c r="E298" s="4">
        <v>123</v>
      </c>
      <c r="F298" s="8">
        <v>4.2</v>
      </c>
      <c r="G298" s="4">
        <v>0</v>
      </c>
      <c r="H298" s="8">
        <v>0</v>
      </c>
      <c r="I298" s="4">
        <v>0</v>
      </c>
    </row>
    <row r="299" spans="1:9" x14ac:dyDescent="0.15">
      <c r="A299" s="2">
        <v>9</v>
      </c>
      <c r="B299" s="1" t="s">
        <v>135</v>
      </c>
      <c r="C299" s="4">
        <v>110</v>
      </c>
      <c r="D299" s="8">
        <v>2.25</v>
      </c>
      <c r="E299" s="4">
        <v>97</v>
      </c>
      <c r="F299" s="8">
        <v>3.32</v>
      </c>
      <c r="G299" s="4">
        <v>13</v>
      </c>
      <c r="H299" s="8">
        <v>0.66</v>
      </c>
      <c r="I299" s="4">
        <v>0</v>
      </c>
    </row>
    <row r="300" spans="1:9" x14ac:dyDescent="0.15">
      <c r="A300" s="2">
        <v>10</v>
      </c>
      <c r="B300" s="1" t="s">
        <v>129</v>
      </c>
      <c r="C300" s="4">
        <v>105</v>
      </c>
      <c r="D300" s="8">
        <v>2.14</v>
      </c>
      <c r="E300" s="4">
        <v>70</v>
      </c>
      <c r="F300" s="8">
        <v>2.39</v>
      </c>
      <c r="G300" s="4">
        <v>35</v>
      </c>
      <c r="H300" s="8">
        <v>1.78</v>
      </c>
      <c r="I300" s="4">
        <v>0</v>
      </c>
    </row>
    <row r="301" spans="1:9" x14ac:dyDescent="0.15">
      <c r="A301" s="2">
        <v>11</v>
      </c>
      <c r="B301" s="1" t="s">
        <v>139</v>
      </c>
      <c r="C301" s="4">
        <v>102</v>
      </c>
      <c r="D301" s="8">
        <v>2.08</v>
      </c>
      <c r="E301" s="4">
        <v>49</v>
      </c>
      <c r="F301" s="8">
        <v>1.67</v>
      </c>
      <c r="G301" s="4">
        <v>53</v>
      </c>
      <c r="H301" s="8">
        <v>2.7</v>
      </c>
      <c r="I301" s="4">
        <v>0</v>
      </c>
    </row>
    <row r="302" spans="1:9" x14ac:dyDescent="0.15">
      <c r="A302" s="2">
        <v>12</v>
      </c>
      <c r="B302" s="1" t="s">
        <v>134</v>
      </c>
      <c r="C302" s="4">
        <v>95</v>
      </c>
      <c r="D302" s="8">
        <v>1.94</v>
      </c>
      <c r="E302" s="4">
        <v>35</v>
      </c>
      <c r="F302" s="8">
        <v>1.2</v>
      </c>
      <c r="G302" s="4">
        <v>60</v>
      </c>
      <c r="H302" s="8">
        <v>3.05</v>
      </c>
      <c r="I302" s="4">
        <v>0</v>
      </c>
    </row>
    <row r="303" spans="1:9" x14ac:dyDescent="0.15">
      <c r="A303" s="2">
        <v>13</v>
      </c>
      <c r="B303" s="1" t="s">
        <v>128</v>
      </c>
      <c r="C303" s="4">
        <v>87</v>
      </c>
      <c r="D303" s="8">
        <v>1.78</v>
      </c>
      <c r="E303" s="4">
        <v>39</v>
      </c>
      <c r="F303" s="8">
        <v>1.33</v>
      </c>
      <c r="G303" s="4">
        <v>48</v>
      </c>
      <c r="H303" s="8">
        <v>2.44</v>
      </c>
      <c r="I303" s="4">
        <v>0</v>
      </c>
    </row>
    <row r="304" spans="1:9" x14ac:dyDescent="0.15">
      <c r="A304" s="2">
        <v>14</v>
      </c>
      <c r="B304" s="1" t="s">
        <v>151</v>
      </c>
      <c r="C304" s="4">
        <v>84</v>
      </c>
      <c r="D304" s="8">
        <v>1.71</v>
      </c>
      <c r="E304" s="4">
        <v>79</v>
      </c>
      <c r="F304" s="8">
        <v>2.7</v>
      </c>
      <c r="G304" s="4">
        <v>5</v>
      </c>
      <c r="H304" s="8">
        <v>0.25</v>
      </c>
      <c r="I304" s="4">
        <v>0</v>
      </c>
    </row>
    <row r="305" spans="1:9" x14ac:dyDescent="0.15">
      <c r="A305" s="2">
        <v>15</v>
      </c>
      <c r="B305" s="1" t="s">
        <v>133</v>
      </c>
      <c r="C305" s="4">
        <v>82</v>
      </c>
      <c r="D305" s="8">
        <v>1.67</v>
      </c>
      <c r="E305" s="4">
        <v>18</v>
      </c>
      <c r="F305" s="8">
        <v>0.62</v>
      </c>
      <c r="G305" s="4">
        <v>64</v>
      </c>
      <c r="H305" s="8">
        <v>3.26</v>
      </c>
      <c r="I305" s="4">
        <v>0</v>
      </c>
    </row>
    <row r="306" spans="1:9" x14ac:dyDescent="0.15">
      <c r="A306" s="2">
        <v>16</v>
      </c>
      <c r="B306" s="1" t="s">
        <v>142</v>
      </c>
      <c r="C306" s="4">
        <v>76</v>
      </c>
      <c r="D306" s="8">
        <v>1.55</v>
      </c>
      <c r="E306" s="4">
        <v>62</v>
      </c>
      <c r="F306" s="8">
        <v>2.12</v>
      </c>
      <c r="G306" s="4">
        <v>14</v>
      </c>
      <c r="H306" s="8">
        <v>0.71</v>
      </c>
      <c r="I306" s="4">
        <v>0</v>
      </c>
    </row>
    <row r="307" spans="1:9" x14ac:dyDescent="0.15">
      <c r="A307" s="2">
        <v>17</v>
      </c>
      <c r="B307" s="1" t="s">
        <v>131</v>
      </c>
      <c r="C307" s="4">
        <v>74</v>
      </c>
      <c r="D307" s="8">
        <v>1.51</v>
      </c>
      <c r="E307" s="4">
        <v>32</v>
      </c>
      <c r="F307" s="8">
        <v>1.0900000000000001</v>
      </c>
      <c r="G307" s="4">
        <v>42</v>
      </c>
      <c r="H307" s="8">
        <v>2.14</v>
      </c>
      <c r="I307" s="4">
        <v>0</v>
      </c>
    </row>
    <row r="308" spans="1:9" x14ac:dyDescent="0.15">
      <c r="A308" s="2">
        <v>18</v>
      </c>
      <c r="B308" s="1" t="s">
        <v>155</v>
      </c>
      <c r="C308" s="4">
        <v>73</v>
      </c>
      <c r="D308" s="8">
        <v>1.49</v>
      </c>
      <c r="E308" s="4">
        <v>60</v>
      </c>
      <c r="F308" s="8">
        <v>2.0499999999999998</v>
      </c>
      <c r="G308" s="4">
        <v>13</v>
      </c>
      <c r="H308" s="8">
        <v>0.66</v>
      </c>
      <c r="I308" s="4">
        <v>0</v>
      </c>
    </row>
    <row r="309" spans="1:9" x14ac:dyDescent="0.15">
      <c r="A309" s="2">
        <v>19</v>
      </c>
      <c r="B309" s="1" t="s">
        <v>130</v>
      </c>
      <c r="C309" s="4">
        <v>66</v>
      </c>
      <c r="D309" s="8">
        <v>1.35</v>
      </c>
      <c r="E309" s="4">
        <v>36</v>
      </c>
      <c r="F309" s="8">
        <v>1.23</v>
      </c>
      <c r="G309" s="4">
        <v>30</v>
      </c>
      <c r="H309" s="8">
        <v>1.53</v>
      </c>
      <c r="I309" s="4">
        <v>0</v>
      </c>
    </row>
    <row r="310" spans="1:9" x14ac:dyDescent="0.15">
      <c r="A310" s="2">
        <v>20</v>
      </c>
      <c r="B310" s="1" t="s">
        <v>149</v>
      </c>
      <c r="C310" s="4">
        <v>65</v>
      </c>
      <c r="D310" s="8">
        <v>1.33</v>
      </c>
      <c r="E310" s="4">
        <v>4</v>
      </c>
      <c r="F310" s="8">
        <v>0.14000000000000001</v>
      </c>
      <c r="G310" s="4">
        <v>61</v>
      </c>
      <c r="H310" s="8">
        <v>3.11</v>
      </c>
      <c r="I310" s="4">
        <v>0</v>
      </c>
    </row>
    <row r="311" spans="1:9" x14ac:dyDescent="0.15">
      <c r="A311" s="1"/>
      <c r="C311" s="4"/>
      <c r="D311" s="8"/>
      <c r="E311" s="4"/>
      <c r="F311" s="8"/>
      <c r="G311" s="4"/>
      <c r="H311" s="8"/>
      <c r="I311" s="4"/>
    </row>
    <row r="312" spans="1:9" x14ac:dyDescent="0.15">
      <c r="A312" s="1" t="s">
        <v>14</v>
      </c>
      <c r="C312" s="4"/>
      <c r="D312" s="8"/>
      <c r="E312" s="4"/>
      <c r="F312" s="8"/>
      <c r="G312" s="4"/>
      <c r="H312" s="8"/>
      <c r="I312" s="4"/>
    </row>
    <row r="313" spans="1:9" x14ac:dyDescent="0.15">
      <c r="A313" s="2">
        <v>1</v>
      </c>
      <c r="B313" s="1" t="s">
        <v>141</v>
      </c>
      <c r="C313" s="4">
        <v>467</v>
      </c>
      <c r="D313" s="8">
        <v>6.08</v>
      </c>
      <c r="E313" s="4">
        <v>405</v>
      </c>
      <c r="F313" s="8">
        <v>9.57</v>
      </c>
      <c r="G313" s="4">
        <v>62</v>
      </c>
      <c r="H313" s="8">
        <v>1.8</v>
      </c>
      <c r="I313" s="4">
        <v>0</v>
      </c>
    </row>
    <row r="314" spans="1:9" x14ac:dyDescent="0.15">
      <c r="A314" s="2">
        <v>2</v>
      </c>
      <c r="B314" s="1" t="s">
        <v>134</v>
      </c>
      <c r="C314" s="4">
        <v>465</v>
      </c>
      <c r="D314" s="8">
        <v>6.06</v>
      </c>
      <c r="E314" s="4">
        <v>265</v>
      </c>
      <c r="F314" s="8">
        <v>6.26</v>
      </c>
      <c r="G314" s="4">
        <v>199</v>
      </c>
      <c r="H314" s="8">
        <v>5.79</v>
      </c>
      <c r="I314" s="4">
        <v>1</v>
      </c>
    </row>
    <row r="315" spans="1:9" x14ac:dyDescent="0.15">
      <c r="A315" s="2">
        <v>3</v>
      </c>
      <c r="B315" s="1" t="s">
        <v>144</v>
      </c>
      <c r="C315" s="4">
        <v>311</v>
      </c>
      <c r="D315" s="8">
        <v>4.05</v>
      </c>
      <c r="E315" s="4">
        <v>280</v>
      </c>
      <c r="F315" s="8">
        <v>6.62</v>
      </c>
      <c r="G315" s="4">
        <v>31</v>
      </c>
      <c r="H315" s="8">
        <v>0.9</v>
      </c>
      <c r="I315" s="4">
        <v>0</v>
      </c>
    </row>
    <row r="316" spans="1:9" x14ac:dyDescent="0.15">
      <c r="A316" s="2">
        <v>4</v>
      </c>
      <c r="B316" s="1" t="s">
        <v>135</v>
      </c>
      <c r="C316" s="4">
        <v>274</v>
      </c>
      <c r="D316" s="8">
        <v>3.57</v>
      </c>
      <c r="E316" s="4">
        <v>238</v>
      </c>
      <c r="F316" s="8">
        <v>5.63</v>
      </c>
      <c r="G316" s="4">
        <v>36</v>
      </c>
      <c r="H316" s="8">
        <v>1.05</v>
      </c>
      <c r="I316" s="4">
        <v>0</v>
      </c>
    </row>
    <row r="317" spans="1:9" x14ac:dyDescent="0.15">
      <c r="A317" s="2">
        <v>5</v>
      </c>
      <c r="B317" s="1" t="s">
        <v>132</v>
      </c>
      <c r="C317" s="4">
        <v>255</v>
      </c>
      <c r="D317" s="8">
        <v>3.32</v>
      </c>
      <c r="E317" s="4">
        <v>191</v>
      </c>
      <c r="F317" s="8">
        <v>4.5199999999999996</v>
      </c>
      <c r="G317" s="4">
        <v>63</v>
      </c>
      <c r="H317" s="8">
        <v>1.83</v>
      </c>
      <c r="I317" s="4">
        <v>1</v>
      </c>
    </row>
    <row r="318" spans="1:9" x14ac:dyDescent="0.15">
      <c r="A318" s="2">
        <v>6</v>
      </c>
      <c r="B318" s="1" t="s">
        <v>143</v>
      </c>
      <c r="C318" s="4">
        <v>243</v>
      </c>
      <c r="D318" s="8">
        <v>3.17</v>
      </c>
      <c r="E318" s="4">
        <v>164</v>
      </c>
      <c r="F318" s="8">
        <v>3.88</v>
      </c>
      <c r="G318" s="4">
        <v>79</v>
      </c>
      <c r="H318" s="8">
        <v>2.2999999999999998</v>
      </c>
      <c r="I318" s="4">
        <v>0</v>
      </c>
    </row>
    <row r="319" spans="1:9" x14ac:dyDescent="0.15">
      <c r="A319" s="2">
        <v>7</v>
      </c>
      <c r="B319" s="1" t="s">
        <v>138</v>
      </c>
      <c r="C319" s="4">
        <v>232</v>
      </c>
      <c r="D319" s="8">
        <v>3.02</v>
      </c>
      <c r="E319" s="4">
        <v>219</v>
      </c>
      <c r="F319" s="8">
        <v>5.18</v>
      </c>
      <c r="G319" s="4">
        <v>13</v>
      </c>
      <c r="H319" s="8">
        <v>0.38</v>
      </c>
      <c r="I319" s="4">
        <v>0</v>
      </c>
    </row>
    <row r="320" spans="1:9" x14ac:dyDescent="0.15">
      <c r="A320" s="2">
        <v>8</v>
      </c>
      <c r="B320" s="1" t="s">
        <v>136</v>
      </c>
      <c r="C320" s="4">
        <v>227</v>
      </c>
      <c r="D320" s="8">
        <v>2.96</v>
      </c>
      <c r="E320" s="4">
        <v>209</v>
      </c>
      <c r="F320" s="8">
        <v>4.9400000000000004</v>
      </c>
      <c r="G320" s="4">
        <v>18</v>
      </c>
      <c r="H320" s="8">
        <v>0.52</v>
      </c>
      <c r="I320" s="4">
        <v>0</v>
      </c>
    </row>
    <row r="321" spans="1:9" x14ac:dyDescent="0.15">
      <c r="A321" s="2">
        <v>9</v>
      </c>
      <c r="B321" s="1" t="s">
        <v>149</v>
      </c>
      <c r="C321" s="4">
        <v>193</v>
      </c>
      <c r="D321" s="8">
        <v>2.5099999999999998</v>
      </c>
      <c r="E321" s="4">
        <v>11</v>
      </c>
      <c r="F321" s="8">
        <v>0.26</v>
      </c>
      <c r="G321" s="4">
        <v>180</v>
      </c>
      <c r="H321" s="8">
        <v>5.24</v>
      </c>
      <c r="I321" s="4">
        <v>2</v>
      </c>
    </row>
    <row r="322" spans="1:9" x14ac:dyDescent="0.15">
      <c r="A322" s="2">
        <v>10</v>
      </c>
      <c r="B322" s="1" t="s">
        <v>140</v>
      </c>
      <c r="C322" s="4">
        <v>190</v>
      </c>
      <c r="D322" s="8">
        <v>2.4700000000000002</v>
      </c>
      <c r="E322" s="4">
        <v>171</v>
      </c>
      <c r="F322" s="8">
        <v>4.04</v>
      </c>
      <c r="G322" s="4">
        <v>19</v>
      </c>
      <c r="H322" s="8">
        <v>0.55000000000000004</v>
      </c>
      <c r="I322" s="4">
        <v>0</v>
      </c>
    </row>
    <row r="323" spans="1:9" x14ac:dyDescent="0.15">
      <c r="A323" s="2">
        <v>11</v>
      </c>
      <c r="B323" s="1" t="s">
        <v>128</v>
      </c>
      <c r="C323" s="4">
        <v>182</v>
      </c>
      <c r="D323" s="8">
        <v>2.37</v>
      </c>
      <c r="E323" s="4">
        <v>86</v>
      </c>
      <c r="F323" s="8">
        <v>2.0299999999999998</v>
      </c>
      <c r="G323" s="4">
        <v>96</v>
      </c>
      <c r="H323" s="8">
        <v>2.79</v>
      </c>
      <c r="I323" s="4">
        <v>0</v>
      </c>
    </row>
    <row r="324" spans="1:9" x14ac:dyDescent="0.15">
      <c r="A324" s="2">
        <v>12</v>
      </c>
      <c r="B324" s="1" t="s">
        <v>133</v>
      </c>
      <c r="C324" s="4">
        <v>174</v>
      </c>
      <c r="D324" s="8">
        <v>2.27</v>
      </c>
      <c r="E324" s="4">
        <v>30</v>
      </c>
      <c r="F324" s="8">
        <v>0.71</v>
      </c>
      <c r="G324" s="4">
        <v>144</v>
      </c>
      <c r="H324" s="8">
        <v>4.1900000000000004</v>
      </c>
      <c r="I324" s="4">
        <v>0</v>
      </c>
    </row>
    <row r="325" spans="1:9" x14ac:dyDescent="0.15">
      <c r="A325" s="2">
        <v>13</v>
      </c>
      <c r="B325" s="1" t="s">
        <v>137</v>
      </c>
      <c r="C325" s="4">
        <v>163</v>
      </c>
      <c r="D325" s="8">
        <v>2.12</v>
      </c>
      <c r="E325" s="4">
        <v>159</v>
      </c>
      <c r="F325" s="8">
        <v>3.76</v>
      </c>
      <c r="G325" s="4">
        <v>4</v>
      </c>
      <c r="H325" s="8">
        <v>0.12</v>
      </c>
      <c r="I325" s="4">
        <v>0</v>
      </c>
    </row>
    <row r="326" spans="1:9" x14ac:dyDescent="0.15">
      <c r="A326" s="2">
        <v>14</v>
      </c>
      <c r="B326" s="1" t="s">
        <v>139</v>
      </c>
      <c r="C326" s="4">
        <v>145</v>
      </c>
      <c r="D326" s="8">
        <v>1.89</v>
      </c>
      <c r="E326" s="4">
        <v>68</v>
      </c>
      <c r="F326" s="8">
        <v>1.61</v>
      </c>
      <c r="G326" s="4">
        <v>77</v>
      </c>
      <c r="H326" s="8">
        <v>2.2400000000000002</v>
      </c>
      <c r="I326" s="4">
        <v>0</v>
      </c>
    </row>
    <row r="327" spans="1:9" x14ac:dyDescent="0.15">
      <c r="A327" s="2">
        <v>15</v>
      </c>
      <c r="B327" s="1" t="s">
        <v>142</v>
      </c>
      <c r="C327" s="4">
        <v>119</v>
      </c>
      <c r="D327" s="8">
        <v>1.55</v>
      </c>
      <c r="E327" s="4">
        <v>76</v>
      </c>
      <c r="F327" s="8">
        <v>1.8</v>
      </c>
      <c r="G327" s="4">
        <v>42</v>
      </c>
      <c r="H327" s="8">
        <v>1.22</v>
      </c>
      <c r="I327" s="4">
        <v>1</v>
      </c>
    </row>
    <row r="328" spans="1:9" x14ac:dyDescent="0.15">
      <c r="A328" s="2">
        <v>16</v>
      </c>
      <c r="B328" s="1" t="s">
        <v>129</v>
      </c>
      <c r="C328" s="4">
        <v>117</v>
      </c>
      <c r="D328" s="8">
        <v>1.52</v>
      </c>
      <c r="E328" s="4">
        <v>75</v>
      </c>
      <c r="F328" s="8">
        <v>1.77</v>
      </c>
      <c r="G328" s="4">
        <v>42</v>
      </c>
      <c r="H328" s="8">
        <v>1.22</v>
      </c>
      <c r="I328" s="4">
        <v>0</v>
      </c>
    </row>
    <row r="329" spans="1:9" x14ac:dyDescent="0.15">
      <c r="A329" s="2">
        <v>17</v>
      </c>
      <c r="B329" s="1" t="s">
        <v>131</v>
      </c>
      <c r="C329" s="4">
        <v>106</v>
      </c>
      <c r="D329" s="8">
        <v>1.38</v>
      </c>
      <c r="E329" s="4">
        <v>48</v>
      </c>
      <c r="F329" s="8">
        <v>1.1299999999999999</v>
      </c>
      <c r="G329" s="4">
        <v>58</v>
      </c>
      <c r="H329" s="8">
        <v>1.69</v>
      </c>
      <c r="I329" s="4">
        <v>0</v>
      </c>
    </row>
    <row r="330" spans="1:9" x14ac:dyDescent="0.15">
      <c r="A330" s="2">
        <v>18</v>
      </c>
      <c r="B330" s="1" t="s">
        <v>126</v>
      </c>
      <c r="C330" s="4">
        <v>98</v>
      </c>
      <c r="D330" s="8">
        <v>1.28</v>
      </c>
      <c r="E330" s="4">
        <v>10</v>
      </c>
      <c r="F330" s="8">
        <v>0.24</v>
      </c>
      <c r="G330" s="4">
        <v>88</v>
      </c>
      <c r="H330" s="8">
        <v>2.56</v>
      </c>
      <c r="I330" s="4">
        <v>0</v>
      </c>
    </row>
    <row r="331" spans="1:9" x14ac:dyDescent="0.15">
      <c r="A331" s="2">
        <v>19</v>
      </c>
      <c r="B331" s="1" t="s">
        <v>147</v>
      </c>
      <c r="C331" s="4">
        <v>91</v>
      </c>
      <c r="D331" s="8">
        <v>1.19</v>
      </c>
      <c r="E331" s="4">
        <v>21</v>
      </c>
      <c r="F331" s="8">
        <v>0.5</v>
      </c>
      <c r="G331" s="4">
        <v>70</v>
      </c>
      <c r="H331" s="8">
        <v>2.04</v>
      </c>
      <c r="I331" s="4">
        <v>0</v>
      </c>
    </row>
    <row r="332" spans="1:9" x14ac:dyDescent="0.15">
      <c r="A332" s="2">
        <v>20</v>
      </c>
      <c r="B332" s="1" t="s">
        <v>130</v>
      </c>
      <c r="C332" s="4">
        <v>89</v>
      </c>
      <c r="D332" s="8">
        <v>1.1599999999999999</v>
      </c>
      <c r="E332" s="4">
        <v>39</v>
      </c>
      <c r="F332" s="8">
        <v>0.92</v>
      </c>
      <c r="G332" s="4">
        <v>50</v>
      </c>
      <c r="H332" s="8">
        <v>1.46</v>
      </c>
      <c r="I332" s="4">
        <v>0</v>
      </c>
    </row>
    <row r="333" spans="1:9" x14ac:dyDescent="0.15">
      <c r="A333" s="1"/>
      <c r="C333" s="4"/>
      <c r="D333" s="8"/>
      <c r="E333" s="4"/>
      <c r="F333" s="8"/>
      <c r="G333" s="4"/>
      <c r="H333" s="8"/>
      <c r="I333" s="4"/>
    </row>
    <row r="334" spans="1:9" x14ac:dyDescent="0.15">
      <c r="A334" s="1" t="s">
        <v>15</v>
      </c>
      <c r="C334" s="4"/>
      <c r="D334" s="8"/>
      <c r="E334" s="4"/>
      <c r="F334" s="8"/>
      <c r="G334" s="4"/>
      <c r="H334" s="8"/>
      <c r="I334" s="4"/>
    </row>
    <row r="335" spans="1:9" x14ac:dyDescent="0.15">
      <c r="A335" s="2">
        <v>1</v>
      </c>
      <c r="B335" s="1" t="s">
        <v>141</v>
      </c>
      <c r="C335" s="4">
        <v>73</v>
      </c>
      <c r="D335" s="8">
        <v>4.72</v>
      </c>
      <c r="E335" s="4">
        <v>68</v>
      </c>
      <c r="F335" s="8">
        <v>6.35</v>
      </c>
      <c r="G335" s="4">
        <v>5</v>
      </c>
      <c r="H335" s="8">
        <v>1.05</v>
      </c>
      <c r="I335" s="4">
        <v>0</v>
      </c>
    </row>
    <row r="336" spans="1:9" x14ac:dyDescent="0.15">
      <c r="A336" s="2">
        <v>2</v>
      </c>
      <c r="B336" s="1" t="s">
        <v>134</v>
      </c>
      <c r="C336" s="4">
        <v>61</v>
      </c>
      <c r="D336" s="8">
        <v>3.94</v>
      </c>
      <c r="E336" s="4">
        <v>37</v>
      </c>
      <c r="F336" s="8">
        <v>3.45</v>
      </c>
      <c r="G336" s="4">
        <v>24</v>
      </c>
      <c r="H336" s="8">
        <v>5.05</v>
      </c>
      <c r="I336" s="4">
        <v>0</v>
      </c>
    </row>
    <row r="337" spans="1:9" x14ac:dyDescent="0.15">
      <c r="A337" s="2">
        <v>3</v>
      </c>
      <c r="B337" s="1" t="s">
        <v>138</v>
      </c>
      <c r="C337" s="4">
        <v>52</v>
      </c>
      <c r="D337" s="8">
        <v>3.36</v>
      </c>
      <c r="E337" s="4">
        <v>49</v>
      </c>
      <c r="F337" s="8">
        <v>4.58</v>
      </c>
      <c r="G337" s="4">
        <v>3</v>
      </c>
      <c r="H337" s="8">
        <v>0.63</v>
      </c>
      <c r="I337" s="4">
        <v>0</v>
      </c>
    </row>
    <row r="338" spans="1:9" x14ac:dyDescent="0.15">
      <c r="A338" s="2">
        <v>4</v>
      </c>
      <c r="B338" s="1" t="s">
        <v>132</v>
      </c>
      <c r="C338" s="4">
        <v>50</v>
      </c>
      <c r="D338" s="8">
        <v>3.23</v>
      </c>
      <c r="E338" s="4">
        <v>40</v>
      </c>
      <c r="F338" s="8">
        <v>3.73</v>
      </c>
      <c r="G338" s="4">
        <v>10</v>
      </c>
      <c r="H338" s="8">
        <v>2.11</v>
      </c>
      <c r="I338" s="4">
        <v>0</v>
      </c>
    </row>
    <row r="339" spans="1:9" x14ac:dyDescent="0.15">
      <c r="A339" s="2">
        <v>5</v>
      </c>
      <c r="B339" s="1" t="s">
        <v>148</v>
      </c>
      <c r="C339" s="4">
        <v>49</v>
      </c>
      <c r="D339" s="8">
        <v>3.17</v>
      </c>
      <c r="E339" s="4">
        <v>43</v>
      </c>
      <c r="F339" s="8">
        <v>4.01</v>
      </c>
      <c r="G339" s="4">
        <v>6</v>
      </c>
      <c r="H339" s="8">
        <v>1.26</v>
      </c>
      <c r="I339" s="4">
        <v>0</v>
      </c>
    </row>
    <row r="340" spans="1:9" x14ac:dyDescent="0.15">
      <c r="A340" s="2">
        <v>6</v>
      </c>
      <c r="B340" s="1" t="s">
        <v>140</v>
      </c>
      <c r="C340" s="4">
        <v>46</v>
      </c>
      <c r="D340" s="8">
        <v>2.97</v>
      </c>
      <c r="E340" s="4">
        <v>46</v>
      </c>
      <c r="F340" s="8">
        <v>4.3</v>
      </c>
      <c r="G340" s="4">
        <v>0</v>
      </c>
      <c r="H340" s="8">
        <v>0</v>
      </c>
      <c r="I340" s="4">
        <v>0</v>
      </c>
    </row>
    <row r="341" spans="1:9" x14ac:dyDescent="0.15">
      <c r="A341" s="2">
        <v>7</v>
      </c>
      <c r="B341" s="1" t="s">
        <v>137</v>
      </c>
      <c r="C341" s="4">
        <v>40</v>
      </c>
      <c r="D341" s="8">
        <v>2.58</v>
      </c>
      <c r="E341" s="4">
        <v>40</v>
      </c>
      <c r="F341" s="8">
        <v>3.73</v>
      </c>
      <c r="G341" s="4">
        <v>0</v>
      </c>
      <c r="H341" s="8">
        <v>0</v>
      </c>
      <c r="I341" s="4">
        <v>0</v>
      </c>
    </row>
    <row r="342" spans="1:9" x14ac:dyDescent="0.15">
      <c r="A342" s="2">
        <v>8</v>
      </c>
      <c r="B342" s="1" t="s">
        <v>128</v>
      </c>
      <c r="C342" s="4">
        <v>39</v>
      </c>
      <c r="D342" s="8">
        <v>2.52</v>
      </c>
      <c r="E342" s="4">
        <v>27</v>
      </c>
      <c r="F342" s="8">
        <v>2.52</v>
      </c>
      <c r="G342" s="4">
        <v>12</v>
      </c>
      <c r="H342" s="8">
        <v>2.5299999999999998</v>
      </c>
      <c r="I342" s="4">
        <v>0</v>
      </c>
    </row>
    <row r="343" spans="1:9" x14ac:dyDescent="0.15">
      <c r="A343" s="2">
        <v>9</v>
      </c>
      <c r="B343" s="1" t="s">
        <v>135</v>
      </c>
      <c r="C343" s="4">
        <v>30</v>
      </c>
      <c r="D343" s="8">
        <v>1.94</v>
      </c>
      <c r="E343" s="4">
        <v>29</v>
      </c>
      <c r="F343" s="8">
        <v>2.71</v>
      </c>
      <c r="G343" s="4">
        <v>1</v>
      </c>
      <c r="H343" s="8">
        <v>0.21</v>
      </c>
      <c r="I343" s="4">
        <v>0</v>
      </c>
    </row>
    <row r="344" spans="1:9" x14ac:dyDescent="0.15">
      <c r="A344" s="2">
        <v>9</v>
      </c>
      <c r="B344" s="1" t="s">
        <v>166</v>
      </c>
      <c r="C344" s="4">
        <v>30</v>
      </c>
      <c r="D344" s="8">
        <v>1.94</v>
      </c>
      <c r="E344" s="4">
        <v>24</v>
      </c>
      <c r="F344" s="8">
        <v>2.2400000000000002</v>
      </c>
      <c r="G344" s="4">
        <v>5</v>
      </c>
      <c r="H344" s="8">
        <v>1.05</v>
      </c>
      <c r="I344" s="4">
        <v>1</v>
      </c>
    </row>
    <row r="345" spans="1:9" x14ac:dyDescent="0.15">
      <c r="A345" s="2">
        <v>11</v>
      </c>
      <c r="B345" s="1" t="s">
        <v>127</v>
      </c>
      <c r="C345" s="4">
        <v>29</v>
      </c>
      <c r="D345" s="8">
        <v>1.87</v>
      </c>
      <c r="E345" s="4">
        <v>17</v>
      </c>
      <c r="F345" s="8">
        <v>1.59</v>
      </c>
      <c r="G345" s="4">
        <v>12</v>
      </c>
      <c r="H345" s="8">
        <v>2.5299999999999998</v>
      </c>
      <c r="I345" s="4">
        <v>0</v>
      </c>
    </row>
    <row r="346" spans="1:9" x14ac:dyDescent="0.15">
      <c r="A346" s="2">
        <v>11</v>
      </c>
      <c r="B346" s="1" t="s">
        <v>146</v>
      </c>
      <c r="C346" s="4">
        <v>29</v>
      </c>
      <c r="D346" s="8">
        <v>1.87</v>
      </c>
      <c r="E346" s="4">
        <v>25</v>
      </c>
      <c r="F346" s="8">
        <v>2.33</v>
      </c>
      <c r="G346" s="4">
        <v>4</v>
      </c>
      <c r="H346" s="8">
        <v>0.84</v>
      </c>
      <c r="I346" s="4">
        <v>0</v>
      </c>
    </row>
    <row r="347" spans="1:9" x14ac:dyDescent="0.15">
      <c r="A347" s="2">
        <v>13</v>
      </c>
      <c r="B347" s="1" t="s">
        <v>125</v>
      </c>
      <c r="C347" s="4">
        <v>28</v>
      </c>
      <c r="D347" s="8">
        <v>1.81</v>
      </c>
      <c r="E347" s="4">
        <v>14</v>
      </c>
      <c r="F347" s="8">
        <v>1.31</v>
      </c>
      <c r="G347" s="4">
        <v>14</v>
      </c>
      <c r="H347" s="8">
        <v>2.95</v>
      </c>
      <c r="I347" s="4">
        <v>0</v>
      </c>
    </row>
    <row r="348" spans="1:9" x14ac:dyDescent="0.15">
      <c r="A348" s="2">
        <v>13</v>
      </c>
      <c r="B348" s="1" t="s">
        <v>150</v>
      </c>
      <c r="C348" s="4">
        <v>28</v>
      </c>
      <c r="D348" s="8">
        <v>1.81</v>
      </c>
      <c r="E348" s="4">
        <v>17</v>
      </c>
      <c r="F348" s="8">
        <v>1.59</v>
      </c>
      <c r="G348" s="4">
        <v>11</v>
      </c>
      <c r="H348" s="8">
        <v>2.3199999999999998</v>
      </c>
      <c r="I348" s="4">
        <v>0</v>
      </c>
    </row>
    <row r="349" spans="1:9" x14ac:dyDescent="0.15">
      <c r="A349" s="2">
        <v>13</v>
      </c>
      <c r="B349" s="1" t="s">
        <v>151</v>
      </c>
      <c r="C349" s="4">
        <v>28</v>
      </c>
      <c r="D349" s="8">
        <v>1.81</v>
      </c>
      <c r="E349" s="4">
        <v>27</v>
      </c>
      <c r="F349" s="8">
        <v>2.52</v>
      </c>
      <c r="G349" s="4">
        <v>1</v>
      </c>
      <c r="H349" s="8">
        <v>0.21</v>
      </c>
      <c r="I349" s="4">
        <v>0</v>
      </c>
    </row>
    <row r="350" spans="1:9" x14ac:dyDescent="0.15">
      <c r="A350" s="2">
        <v>16</v>
      </c>
      <c r="B350" s="1" t="s">
        <v>130</v>
      </c>
      <c r="C350" s="4">
        <v>27</v>
      </c>
      <c r="D350" s="8">
        <v>1.74</v>
      </c>
      <c r="E350" s="4">
        <v>22</v>
      </c>
      <c r="F350" s="8">
        <v>2.0499999999999998</v>
      </c>
      <c r="G350" s="4">
        <v>5</v>
      </c>
      <c r="H350" s="8">
        <v>1.05</v>
      </c>
      <c r="I350" s="4">
        <v>0</v>
      </c>
    </row>
    <row r="351" spans="1:9" x14ac:dyDescent="0.15">
      <c r="A351" s="2">
        <v>16</v>
      </c>
      <c r="B351" s="1" t="s">
        <v>144</v>
      </c>
      <c r="C351" s="4">
        <v>27</v>
      </c>
      <c r="D351" s="8">
        <v>1.74</v>
      </c>
      <c r="E351" s="4">
        <v>26</v>
      </c>
      <c r="F351" s="8">
        <v>2.4300000000000002</v>
      </c>
      <c r="G351" s="4">
        <v>1</v>
      </c>
      <c r="H351" s="8">
        <v>0.21</v>
      </c>
      <c r="I351" s="4">
        <v>0</v>
      </c>
    </row>
    <row r="352" spans="1:9" x14ac:dyDescent="0.15">
      <c r="A352" s="2">
        <v>18</v>
      </c>
      <c r="B352" s="1" t="s">
        <v>129</v>
      </c>
      <c r="C352" s="4">
        <v>25</v>
      </c>
      <c r="D352" s="8">
        <v>1.61</v>
      </c>
      <c r="E352" s="4">
        <v>20</v>
      </c>
      <c r="F352" s="8">
        <v>1.87</v>
      </c>
      <c r="G352" s="4">
        <v>5</v>
      </c>
      <c r="H352" s="8">
        <v>1.05</v>
      </c>
      <c r="I352" s="4">
        <v>0</v>
      </c>
    </row>
    <row r="353" spans="1:9" x14ac:dyDescent="0.15">
      <c r="A353" s="2">
        <v>18</v>
      </c>
      <c r="B353" s="1" t="s">
        <v>143</v>
      </c>
      <c r="C353" s="4">
        <v>25</v>
      </c>
      <c r="D353" s="8">
        <v>1.61</v>
      </c>
      <c r="E353" s="4">
        <v>23</v>
      </c>
      <c r="F353" s="8">
        <v>2.15</v>
      </c>
      <c r="G353" s="4">
        <v>2</v>
      </c>
      <c r="H353" s="8">
        <v>0.42</v>
      </c>
      <c r="I353" s="4">
        <v>0</v>
      </c>
    </row>
    <row r="354" spans="1:9" x14ac:dyDescent="0.15">
      <c r="A354" s="2">
        <v>20</v>
      </c>
      <c r="B354" s="1" t="s">
        <v>131</v>
      </c>
      <c r="C354" s="4">
        <v>24</v>
      </c>
      <c r="D354" s="8">
        <v>1.55</v>
      </c>
      <c r="E354" s="4">
        <v>7</v>
      </c>
      <c r="F354" s="8">
        <v>0.65</v>
      </c>
      <c r="G354" s="4">
        <v>17</v>
      </c>
      <c r="H354" s="8">
        <v>3.58</v>
      </c>
      <c r="I354" s="4">
        <v>0</v>
      </c>
    </row>
    <row r="355" spans="1:9" x14ac:dyDescent="0.15">
      <c r="A355" s="1"/>
      <c r="C355" s="4"/>
      <c r="D355" s="8"/>
      <c r="E355" s="4"/>
      <c r="F355" s="8"/>
      <c r="G355" s="4"/>
      <c r="H355" s="8"/>
      <c r="I355" s="4"/>
    </row>
    <row r="356" spans="1:9" x14ac:dyDescent="0.15">
      <c r="A356" s="1" t="s">
        <v>16</v>
      </c>
      <c r="C356" s="4"/>
      <c r="D356" s="8"/>
      <c r="E356" s="4"/>
      <c r="F356" s="8"/>
      <c r="G356" s="4"/>
      <c r="H356" s="8"/>
      <c r="I356" s="4"/>
    </row>
    <row r="357" spans="1:9" x14ac:dyDescent="0.15">
      <c r="A357" s="2">
        <v>1</v>
      </c>
      <c r="B357" s="1" t="s">
        <v>141</v>
      </c>
      <c r="C357" s="4">
        <v>94</v>
      </c>
      <c r="D357" s="8">
        <v>5.7</v>
      </c>
      <c r="E357" s="4">
        <v>83</v>
      </c>
      <c r="F357" s="8">
        <v>10.96</v>
      </c>
      <c r="G357" s="4">
        <v>11</v>
      </c>
      <c r="H357" s="8">
        <v>1.24</v>
      </c>
      <c r="I357" s="4">
        <v>0</v>
      </c>
    </row>
    <row r="358" spans="1:9" x14ac:dyDescent="0.15">
      <c r="A358" s="2">
        <v>2</v>
      </c>
      <c r="B358" s="1" t="s">
        <v>134</v>
      </c>
      <c r="C358" s="4">
        <v>81</v>
      </c>
      <c r="D358" s="8">
        <v>4.91</v>
      </c>
      <c r="E358" s="4">
        <v>7</v>
      </c>
      <c r="F358" s="8">
        <v>0.92</v>
      </c>
      <c r="G358" s="4">
        <v>73</v>
      </c>
      <c r="H358" s="8">
        <v>8.24</v>
      </c>
      <c r="I358" s="4">
        <v>1</v>
      </c>
    </row>
    <row r="359" spans="1:9" x14ac:dyDescent="0.15">
      <c r="A359" s="2">
        <v>3</v>
      </c>
      <c r="B359" s="1" t="s">
        <v>128</v>
      </c>
      <c r="C359" s="4">
        <v>72</v>
      </c>
      <c r="D359" s="8">
        <v>4.37</v>
      </c>
      <c r="E359" s="4">
        <v>31</v>
      </c>
      <c r="F359" s="8">
        <v>4.0999999999999996</v>
      </c>
      <c r="G359" s="4">
        <v>41</v>
      </c>
      <c r="H359" s="8">
        <v>4.63</v>
      </c>
      <c r="I359" s="4">
        <v>0</v>
      </c>
    </row>
    <row r="360" spans="1:9" x14ac:dyDescent="0.15">
      <c r="A360" s="2">
        <v>4</v>
      </c>
      <c r="B360" s="1" t="s">
        <v>144</v>
      </c>
      <c r="C360" s="4">
        <v>67</v>
      </c>
      <c r="D360" s="8">
        <v>4.0599999999999996</v>
      </c>
      <c r="E360" s="4">
        <v>61</v>
      </c>
      <c r="F360" s="8">
        <v>8.06</v>
      </c>
      <c r="G360" s="4">
        <v>6</v>
      </c>
      <c r="H360" s="8">
        <v>0.68</v>
      </c>
      <c r="I360" s="4">
        <v>0</v>
      </c>
    </row>
    <row r="361" spans="1:9" x14ac:dyDescent="0.15">
      <c r="A361" s="2">
        <v>5</v>
      </c>
      <c r="B361" s="1" t="s">
        <v>132</v>
      </c>
      <c r="C361" s="4">
        <v>66</v>
      </c>
      <c r="D361" s="8">
        <v>4</v>
      </c>
      <c r="E361" s="4">
        <v>43</v>
      </c>
      <c r="F361" s="8">
        <v>5.68</v>
      </c>
      <c r="G361" s="4">
        <v>23</v>
      </c>
      <c r="H361" s="8">
        <v>2.6</v>
      </c>
      <c r="I361" s="4">
        <v>0</v>
      </c>
    </row>
    <row r="362" spans="1:9" x14ac:dyDescent="0.15">
      <c r="A362" s="2">
        <v>6</v>
      </c>
      <c r="B362" s="1" t="s">
        <v>149</v>
      </c>
      <c r="C362" s="4">
        <v>65</v>
      </c>
      <c r="D362" s="8">
        <v>3.94</v>
      </c>
      <c r="E362" s="4">
        <v>1</v>
      </c>
      <c r="F362" s="8">
        <v>0.13</v>
      </c>
      <c r="G362" s="4">
        <v>63</v>
      </c>
      <c r="H362" s="8">
        <v>7.11</v>
      </c>
      <c r="I362" s="4">
        <v>1</v>
      </c>
    </row>
    <row r="363" spans="1:9" x14ac:dyDescent="0.15">
      <c r="A363" s="2">
        <v>6</v>
      </c>
      <c r="B363" s="1" t="s">
        <v>135</v>
      </c>
      <c r="C363" s="4">
        <v>65</v>
      </c>
      <c r="D363" s="8">
        <v>3.94</v>
      </c>
      <c r="E363" s="4">
        <v>50</v>
      </c>
      <c r="F363" s="8">
        <v>6.61</v>
      </c>
      <c r="G363" s="4">
        <v>15</v>
      </c>
      <c r="H363" s="8">
        <v>1.69</v>
      </c>
      <c r="I363" s="4">
        <v>0</v>
      </c>
    </row>
    <row r="364" spans="1:9" x14ac:dyDescent="0.15">
      <c r="A364" s="2">
        <v>8</v>
      </c>
      <c r="B364" s="1" t="s">
        <v>143</v>
      </c>
      <c r="C364" s="4">
        <v>61</v>
      </c>
      <c r="D364" s="8">
        <v>3.7</v>
      </c>
      <c r="E364" s="4">
        <v>37</v>
      </c>
      <c r="F364" s="8">
        <v>4.8899999999999997</v>
      </c>
      <c r="G364" s="4">
        <v>24</v>
      </c>
      <c r="H364" s="8">
        <v>2.71</v>
      </c>
      <c r="I364" s="4">
        <v>0</v>
      </c>
    </row>
    <row r="365" spans="1:9" x14ac:dyDescent="0.15">
      <c r="A365" s="2">
        <v>9</v>
      </c>
      <c r="B365" s="1" t="s">
        <v>133</v>
      </c>
      <c r="C365" s="4">
        <v>57</v>
      </c>
      <c r="D365" s="8">
        <v>3.46</v>
      </c>
      <c r="E365" s="4">
        <v>7</v>
      </c>
      <c r="F365" s="8">
        <v>0.92</v>
      </c>
      <c r="G365" s="4">
        <v>50</v>
      </c>
      <c r="H365" s="8">
        <v>5.64</v>
      </c>
      <c r="I365" s="4">
        <v>0</v>
      </c>
    </row>
    <row r="366" spans="1:9" x14ac:dyDescent="0.15">
      <c r="A366" s="2">
        <v>10</v>
      </c>
      <c r="B366" s="1" t="s">
        <v>147</v>
      </c>
      <c r="C366" s="4">
        <v>39</v>
      </c>
      <c r="D366" s="8">
        <v>2.37</v>
      </c>
      <c r="E366" s="4">
        <v>2</v>
      </c>
      <c r="F366" s="8">
        <v>0.26</v>
      </c>
      <c r="G366" s="4">
        <v>37</v>
      </c>
      <c r="H366" s="8">
        <v>4.18</v>
      </c>
      <c r="I366" s="4">
        <v>0</v>
      </c>
    </row>
    <row r="367" spans="1:9" x14ac:dyDescent="0.15">
      <c r="A367" s="2">
        <v>11</v>
      </c>
      <c r="B367" s="1" t="s">
        <v>138</v>
      </c>
      <c r="C367" s="4">
        <v>38</v>
      </c>
      <c r="D367" s="8">
        <v>2.2999999999999998</v>
      </c>
      <c r="E367" s="4">
        <v>34</v>
      </c>
      <c r="F367" s="8">
        <v>4.49</v>
      </c>
      <c r="G367" s="4">
        <v>4</v>
      </c>
      <c r="H367" s="8">
        <v>0.45</v>
      </c>
      <c r="I367" s="4">
        <v>0</v>
      </c>
    </row>
    <row r="368" spans="1:9" x14ac:dyDescent="0.15">
      <c r="A368" s="2">
        <v>12</v>
      </c>
      <c r="B368" s="1" t="s">
        <v>165</v>
      </c>
      <c r="C368" s="4">
        <v>34</v>
      </c>
      <c r="D368" s="8">
        <v>2.06</v>
      </c>
      <c r="E368" s="4">
        <v>24</v>
      </c>
      <c r="F368" s="8">
        <v>3.17</v>
      </c>
      <c r="G368" s="4">
        <v>10</v>
      </c>
      <c r="H368" s="8">
        <v>1.1299999999999999</v>
      </c>
      <c r="I368" s="4">
        <v>0</v>
      </c>
    </row>
    <row r="369" spans="1:9" x14ac:dyDescent="0.15">
      <c r="A369" s="2">
        <v>13</v>
      </c>
      <c r="B369" s="1" t="s">
        <v>139</v>
      </c>
      <c r="C369" s="4">
        <v>33</v>
      </c>
      <c r="D369" s="8">
        <v>2</v>
      </c>
      <c r="E369" s="4">
        <v>11</v>
      </c>
      <c r="F369" s="8">
        <v>1.45</v>
      </c>
      <c r="G369" s="4">
        <v>22</v>
      </c>
      <c r="H369" s="8">
        <v>2.48</v>
      </c>
      <c r="I369" s="4">
        <v>0</v>
      </c>
    </row>
    <row r="370" spans="1:9" x14ac:dyDescent="0.15">
      <c r="A370" s="2">
        <v>14</v>
      </c>
      <c r="B370" s="1" t="s">
        <v>129</v>
      </c>
      <c r="C370" s="4">
        <v>30</v>
      </c>
      <c r="D370" s="8">
        <v>1.82</v>
      </c>
      <c r="E370" s="4">
        <v>14</v>
      </c>
      <c r="F370" s="8">
        <v>1.85</v>
      </c>
      <c r="G370" s="4">
        <v>15</v>
      </c>
      <c r="H370" s="8">
        <v>1.69</v>
      </c>
      <c r="I370" s="4">
        <v>1</v>
      </c>
    </row>
    <row r="371" spans="1:9" x14ac:dyDescent="0.15">
      <c r="A371" s="2">
        <v>15</v>
      </c>
      <c r="B371" s="1" t="s">
        <v>136</v>
      </c>
      <c r="C371" s="4">
        <v>28</v>
      </c>
      <c r="D371" s="8">
        <v>1.7</v>
      </c>
      <c r="E371" s="4">
        <v>24</v>
      </c>
      <c r="F371" s="8">
        <v>3.17</v>
      </c>
      <c r="G371" s="4">
        <v>4</v>
      </c>
      <c r="H371" s="8">
        <v>0.45</v>
      </c>
      <c r="I371" s="4">
        <v>0</v>
      </c>
    </row>
    <row r="372" spans="1:9" x14ac:dyDescent="0.15">
      <c r="A372" s="2">
        <v>16</v>
      </c>
      <c r="B372" s="1" t="s">
        <v>126</v>
      </c>
      <c r="C372" s="4">
        <v>27</v>
      </c>
      <c r="D372" s="8">
        <v>1.64</v>
      </c>
      <c r="E372" s="4">
        <v>4</v>
      </c>
      <c r="F372" s="8">
        <v>0.53</v>
      </c>
      <c r="G372" s="4">
        <v>23</v>
      </c>
      <c r="H372" s="8">
        <v>2.6</v>
      </c>
      <c r="I372" s="4">
        <v>0</v>
      </c>
    </row>
    <row r="373" spans="1:9" x14ac:dyDescent="0.15">
      <c r="A373" s="2">
        <v>16</v>
      </c>
      <c r="B373" s="1" t="s">
        <v>152</v>
      </c>
      <c r="C373" s="4">
        <v>27</v>
      </c>
      <c r="D373" s="8">
        <v>1.64</v>
      </c>
      <c r="E373" s="4">
        <v>26</v>
      </c>
      <c r="F373" s="8">
        <v>3.43</v>
      </c>
      <c r="G373" s="4">
        <v>1</v>
      </c>
      <c r="H373" s="8">
        <v>0.11</v>
      </c>
      <c r="I373" s="4">
        <v>0</v>
      </c>
    </row>
    <row r="374" spans="1:9" x14ac:dyDescent="0.15">
      <c r="A374" s="2">
        <v>18</v>
      </c>
      <c r="B374" s="1" t="s">
        <v>145</v>
      </c>
      <c r="C374" s="4">
        <v>25</v>
      </c>
      <c r="D374" s="8">
        <v>1.52</v>
      </c>
      <c r="E374" s="4">
        <v>14</v>
      </c>
      <c r="F374" s="8">
        <v>1.85</v>
      </c>
      <c r="G374" s="4">
        <v>11</v>
      </c>
      <c r="H374" s="8">
        <v>1.24</v>
      </c>
      <c r="I374" s="4">
        <v>0</v>
      </c>
    </row>
    <row r="375" spans="1:9" x14ac:dyDescent="0.15">
      <c r="A375" s="2">
        <v>18</v>
      </c>
      <c r="B375" s="1" t="s">
        <v>150</v>
      </c>
      <c r="C375" s="4">
        <v>25</v>
      </c>
      <c r="D375" s="8">
        <v>1.52</v>
      </c>
      <c r="E375" s="4">
        <v>9</v>
      </c>
      <c r="F375" s="8">
        <v>1.19</v>
      </c>
      <c r="G375" s="4">
        <v>16</v>
      </c>
      <c r="H375" s="8">
        <v>1.81</v>
      </c>
      <c r="I375" s="4">
        <v>0</v>
      </c>
    </row>
    <row r="376" spans="1:9" x14ac:dyDescent="0.15">
      <c r="A376" s="2">
        <v>20</v>
      </c>
      <c r="B376" s="1" t="s">
        <v>162</v>
      </c>
      <c r="C376" s="4">
        <v>24</v>
      </c>
      <c r="D376" s="8">
        <v>1.46</v>
      </c>
      <c r="E376" s="4">
        <v>3</v>
      </c>
      <c r="F376" s="8">
        <v>0.4</v>
      </c>
      <c r="G376" s="4">
        <v>21</v>
      </c>
      <c r="H376" s="8">
        <v>2.37</v>
      </c>
      <c r="I376" s="4">
        <v>0</v>
      </c>
    </row>
    <row r="377" spans="1:9" x14ac:dyDescent="0.15">
      <c r="A377" s="2">
        <v>20</v>
      </c>
      <c r="B377" s="1" t="s">
        <v>137</v>
      </c>
      <c r="C377" s="4">
        <v>24</v>
      </c>
      <c r="D377" s="8">
        <v>1.46</v>
      </c>
      <c r="E377" s="4">
        <v>21</v>
      </c>
      <c r="F377" s="8">
        <v>2.77</v>
      </c>
      <c r="G377" s="4">
        <v>3</v>
      </c>
      <c r="H377" s="8">
        <v>0.34</v>
      </c>
      <c r="I377" s="4">
        <v>0</v>
      </c>
    </row>
    <row r="378" spans="1:9" x14ac:dyDescent="0.15">
      <c r="A378" s="1"/>
      <c r="C378" s="4"/>
      <c r="D378" s="8"/>
      <c r="E378" s="4"/>
      <c r="F378" s="8"/>
      <c r="G378" s="4"/>
      <c r="H378" s="8"/>
      <c r="I378" s="4"/>
    </row>
    <row r="379" spans="1:9" x14ac:dyDescent="0.15">
      <c r="A379" s="1" t="s">
        <v>17</v>
      </c>
      <c r="C379" s="4"/>
      <c r="D379" s="8"/>
      <c r="E379" s="4"/>
      <c r="F379" s="8"/>
      <c r="G379" s="4"/>
      <c r="H379" s="8"/>
      <c r="I379" s="4"/>
    </row>
    <row r="380" spans="1:9" x14ac:dyDescent="0.15">
      <c r="A380" s="2">
        <v>1</v>
      </c>
      <c r="B380" s="1" t="s">
        <v>141</v>
      </c>
      <c r="C380" s="4">
        <v>173</v>
      </c>
      <c r="D380" s="8">
        <v>5.63</v>
      </c>
      <c r="E380" s="4">
        <v>160</v>
      </c>
      <c r="F380" s="8">
        <v>9.85</v>
      </c>
      <c r="G380" s="4">
        <v>13</v>
      </c>
      <c r="H380" s="8">
        <v>0.9</v>
      </c>
      <c r="I380" s="4">
        <v>0</v>
      </c>
    </row>
    <row r="381" spans="1:9" x14ac:dyDescent="0.15">
      <c r="A381" s="2">
        <v>2</v>
      </c>
      <c r="B381" s="1" t="s">
        <v>136</v>
      </c>
      <c r="C381" s="4">
        <v>108</v>
      </c>
      <c r="D381" s="8">
        <v>3.51</v>
      </c>
      <c r="E381" s="4">
        <v>100</v>
      </c>
      <c r="F381" s="8">
        <v>6.16</v>
      </c>
      <c r="G381" s="4">
        <v>8</v>
      </c>
      <c r="H381" s="8">
        <v>0.55000000000000004</v>
      </c>
      <c r="I381" s="4">
        <v>0</v>
      </c>
    </row>
    <row r="382" spans="1:9" x14ac:dyDescent="0.15">
      <c r="A382" s="2">
        <v>3</v>
      </c>
      <c r="B382" s="1" t="s">
        <v>134</v>
      </c>
      <c r="C382" s="4">
        <v>101</v>
      </c>
      <c r="D382" s="8">
        <v>3.29</v>
      </c>
      <c r="E382" s="4">
        <v>35</v>
      </c>
      <c r="F382" s="8">
        <v>2.16</v>
      </c>
      <c r="G382" s="4">
        <v>66</v>
      </c>
      <c r="H382" s="8">
        <v>4.57</v>
      </c>
      <c r="I382" s="4">
        <v>0</v>
      </c>
    </row>
    <row r="383" spans="1:9" x14ac:dyDescent="0.15">
      <c r="A383" s="2">
        <v>4</v>
      </c>
      <c r="B383" s="1" t="s">
        <v>144</v>
      </c>
      <c r="C383" s="4">
        <v>89</v>
      </c>
      <c r="D383" s="8">
        <v>2.9</v>
      </c>
      <c r="E383" s="4">
        <v>80</v>
      </c>
      <c r="F383" s="8">
        <v>4.93</v>
      </c>
      <c r="G383" s="4">
        <v>9</v>
      </c>
      <c r="H383" s="8">
        <v>0.62</v>
      </c>
      <c r="I383" s="4">
        <v>0</v>
      </c>
    </row>
    <row r="384" spans="1:9" x14ac:dyDescent="0.15">
      <c r="A384" s="2">
        <v>5</v>
      </c>
      <c r="B384" s="1" t="s">
        <v>140</v>
      </c>
      <c r="C384" s="4">
        <v>87</v>
      </c>
      <c r="D384" s="8">
        <v>2.83</v>
      </c>
      <c r="E384" s="4">
        <v>82</v>
      </c>
      <c r="F384" s="8">
        <v>5.05</v>
      </c>
      <c r="G384" s="4">
        <v>5</v>
      </c>
      <c r="H384" s="8">
        <v>0.35</v>
      </c>
      <c r="I384" s="4">
        <v>0</v>
      </c>
    </row>
    <row r="385" spans="1:9" x14ac:dyDescent="0.15">
      <c r="A385" s="2">
        <v>6</v>
      </c>
      <c r="B385" s="1" t="s">
        <v>143</v>
      </c>
      <c r="C385" s="4">
        <v>83</v>
      </c>
      <c r="D385" s="8">
        <v>2.7</v>
      </c>
      <c r="E385" s="4">
        <v>61</v>
      </c>
      <c r="F385" s="8">
        <v>3.76</v>
      </c>
      <c r="G385" s="4">
        <v>21</v>
      </c>
      <c r="H385" s="8">
        <v>1.45</v>
      </c>
      <c r="I385" s="4">
        <v>1</v>
      </c>
    </row>
    <row r="386" spans="1:9" x14ac:dyDescent="0.15">
      <c r="A386" s="2">
        <v>7</v>
      </c>
      <c r="B386" s="1" t="s">
        <v>138</v>
      </c>
      <c r="C386" s="4">
        <v>80</v>
      </c>
      <c r="D386" s="8">
        <v>2.6</v>
      </c>
      <c r="E386" s="4">
        <v>78</v>
      </c>
      <c r="F386" s="8">
        <v>4.8</v>
      </c>
      <c r="G386" s="4">
        <v>2</v>
      </c>
      <c r="H386" s="8">
        <v>0.14000000000000001</v>
      </c>
      <c r="I386" s="4">
        <v>0</v>
      </c>
    </row>
    <row r="387" spans="1:9" x14ac:dyDescent="0.15">
      <c r="A387" s="2">
        <v>8</v>
      </c>
      <c r="B387" s="1" t="s">
        <v>132</v>
      </c>
      <c r="C387" s="4">
        <v>74</v>
      </c>
      <c r="D387" s="8">
        <v>2.41</v>
      </c>
      <c r="E387" s="4">
        <v>59</v>
      </c>
      <c r="F387" s="8">
        <v>3.63</v>
      </c>
      <c r="G387" s="4">
        <v>15</v>
      </c>
      <c r="H387" s="8">
        <v>1.04</v>
      </c>
      <c r="I387" s="4">
        <v>0</v>
      </c>
    </row>
    <row r="388" spans="1:9" x14ac:dyDescent="0.15">
      <c r="A388" s="2">
        <v>8</v>
      </c>
      <c r="B388" s="1" t="s">
        <v>137</v>
      </c>
      <c r="C388" s="4">
        <v>74</v>
      </c>
      <c r="D388" s="8">
        <v>2.41</v>
      </c>
      <c r="E388" s="4">
        <v>71</v>
      </c>
      <c r="F388" s="8">
        <v>4.37</v>
      </c>
      <c r="G388" s="4">
        <v>3</v>
      </c>
      <c r="H388" s="8">
        <v>0.21</v>
      </c>
      <c r="I388" s="4">
        <v>0</v>
      </c>
    </row>
    <row r="389" spans="1:9" x14ac:dyDescent="0.15">
      <c r="A389" s="2">
        <v>10</v>
      </c>
      <c r="B389" s="1" t="s">
        <v>135</v>
      </c>
      <c r="C389" s="4">
        <v>73</v>
      </c>
      <c r="D389" s="8">
        <v>2.38</v>
      </c>
      <c r="E389" s="4">
        <v>64</v>
      </c>
      <c r="F389" s="8">
        <v>3.94</v>
      </c>
      <c r="G389" s="4">
        <v>9</v>
      </c>
      <c r="H389" s="8">
        <v>0.62</v>
      </c>
      <c r="I389" s="4">
        <v>0</v>
      </c>
    </row>
    <row r="390" spans="1:9" x14ac:dyDescent="0.15">
      <c r="A390" s="2">
        <v>11</v>
      </c>
      <c r="B390" s="1" t="s">
        <v>149</v>
      </c>
      <c r="C390" s="4">
        <v>69</v>
      </c>
      <c r="D390" s="8">
        <v>2.25</v>
      </c>
      <c r="E390" s="4">
        <v>5</v>
      </c>
      <c r="F390" s="8">
        <v>0.31</v>
      </c>
      <c r="G390" s="4">
        <v>64</v>
      </c>
      <c r="H390" s="8">
        <v>4.43</v>
      </c>
      <c r="I390" s="4">
        <v>0</v>
      </c>
    </row>
    <row r="391" spans="1:9" x14ac:dyDescent="0.15">
      <c r="A391" s="2">
        <v>12</v>
      </c>
      <c r="B391" s="1" t="s">
        <v>130</v>
      </c>
      <c r="C391" s="4">
        <v>66</v>
      </c>
      <c r="D391" s="8">
        <v>2.15</v>
      </c>
      <c r="E391" s="4">
        <v>33</v>
      </c>
      <c r="F391" s="8">
        <v>2.0299999999999998</v>
      </c>
      <c r="G391" s="4">
        <v>33</v>
      </c>
      <c r="H391" s="8">
        <v>2.2799999999999998</v>
      </c>
      <c r="I391" s="4">
        <v>0</v>
      </c>
    </row>
    <row r="392" spans="1:9" x14ac:dyDescent="0.15">
      <c r="A392" s="2">
        <v>13</v>
      </c>
      <c r="B392" s="1" t="s">
        <v>139</v>
      </c>
      <c r="C392" s="4">
        <v>65</v>
      </c>
      <c r="D392" s="8">
        <v>2.12</v>
      </c>
      <c r="E392" s="4">
        <v>34</v>
      </c>
      <c r="F392" s="8">
        <v>2.09</v>
      </c>
      <c r="G392" s="4">
        <v>31</v>
      </c>
      <c r="H392" s="8">
        <v>2.15</v>
      </c>
      <c r="I392" s="4">
        <v>0</v>
      </c>
    </row>
    <row r="393" spans="1:9" x14ac:dyDescent="0.15">
      <c r="A393" s="2">
        <v>14</v>
      </c>
      <c r="B393" s="1" t="s">
        <v>126</v>
      </c>
      <c r="C393" s="4">
        <v>59</v>
      </c>
      <c r="D393" s="8">
        <v>1.92</v>
      </c>
      <c r="E393" s="4">
        <v>5</v>
      </c>
      <c r="F393" s="8">
        <v>0.31</v>
      </c>
      <c r="G393" s="4">
        <v>54</v>
      </c>
      <c r="H393" s="8">
        <v>3.74</v>
      </c>
      <c r="I393" s="4">
        <v>0</v>
      </c>
    </row>
    <row r="394" spans="1:9" x14ac:dyDescent="0.15">
      <c r="A394" s="2">
        <v>15</v>
      </c>
      <c r="B394" s="1" t="s">
        <v>125</v>
      </c>
      <c r="C394" s="4">
        <v>56</v>
      </c>
      <c r="D394" s="8">
        <v>1.82</v>
      </c>
      <c r="E394" s="4">
        <v>9</v>
      </c>
      <c r="F394" s="8">
        <v>0.55000000000000004</v>
      </c>
      <c r="G394" s="4">
        <v>47</v>
      </c>
      <c r="H394" s="8">
        <v>3.25</v>
      </c>
      <c r="I394" s="4">
        <v>0</v>
      </c>
    </row>
    <row r="395" spans="1:9" x14ac:dyDescent="0.15">
      <c r="A395" s="2">
        <v>16</v>
      </c>
      <c r="B395" s="1" t="s">
        <v>129</v>
      </c>
      <c r="C395" s="4">
        <v>49</v>
      </c>
      <c r="D395" s="8">
        <v>1.59</v>
      </c>
      <c r="E395" s="4">
        <v>34</v>
      </c>
      <c r="F395" s="8">
        <v>2.09</v>
      </c>
      <c r="G395" s="4">
        <v>15</v>
      </c>
      <c r="H395" s="8">
        <v>1.04</v>
      </c>
      <c r="I395" s="4">
        <v>0</v>
      </c>
    </row>
    <row r="396" spans="1:9" x14ac:dyDescent="0.15">
      <c r="A396" s="2">
        <v>16</v>
      </c>
      <c r="B396" s="1" t="s">
        <v>133</v>
      </c>
      <c r="C396" s="4">
        <v>49</v>
      </c>
      <c r="D396" s="8">
        <v>1.59</v>
      </c>
      <c r="E396" s="4">
        <v>10</v>
      </c>
      <c r="F396" s="8">
        <v>0.62</v>
      </c>
      <c r="G396" s="4">
        <v>39</v>
      </c>
      <c r="H396" s="8">
        <v>2.7</v>
      </c>
      <c r="I396" s="4">
        <v>0</v>
      </c>
    </row>
    <row r="397" spans="1:9" x14ac:dyDescent="0.15">
      <c r="A397" s="2">
        <v>18</v>
      </c>
      <c r="B397" s="1" t="s">
        <v>127</v>
      </c>
      <c r="C397" s="4">
        <v>48</v>
      </c>
      <c r="D397" s="8">
        <v>1.56</v>
      </c>
      <c r="E397" s="4">
        <v>11</v>
      </c>
      <c r="F397" s="8">
        <v>0.68</v>
      </c>
      <c r="G397" s="4">
        <v>37</v>
      </c>
      <c r="H397" s="8">
        <v>2.56</v>
      </c>
      <c r="I397" s="4">
        <v>0</v>
      </c>
    </row>
    <row r="398" spans="1:9" x14ac:dyDescent="0.15">
      <c r="A398" s="2">
        <v>19</v>
      </c>
      <c r="B398" s="1" t="s">
        <v>142</v>
      </c>
      <c r="C398" s="4">
        <v>47</v>
      </c>
      <c r="D398" s="8">
        <v>1.53</v>
      </c>
      <c r="E398" s="4">
        <v>34</v>
      </c>
      <c r="F398" s="8">
        <v>2.09</v>
      </c>
      <c r="G398" s="4">
        <v>13</v>
      </c>
      <c r="H398" s="8">
        <v>0.9</v>
      </c>
      <c r="I398" s="4">
        <v>0</v>
      </c>
    </row>
    <row r="399" spans="1:9" x14ac:dyDescent="0.15">
      <c r="A399" s="2">
        <v>20</v>
      </c>
      <c r="B399" s="1" t="s">
        <v>128</v>
      </c>
      <c r="C399" s="4">
        <v>45</v>
      </c>
      <c r="D399" s="8">
        <v>1.46</v>
      </c>
      <c r="E399" s="4">
        <v>20</v>
      </c>
      <c r="F399" s="8">
        <v>1.23</v>
      </c>
      <c r="G399" s="4">
        <v>25</v>
      </c>
      <c r="H399" s="8">
        <v>1.73</v>
      </c>
      <c r="I399" s="4">
        <v>0</v>
      </c>
    </row>
    <row r="400" spans="1:9" x14ac:dyDescent="0.15">
      <c r="A400" s="1"/>
      <c r="C400" s="4"/>
      <c r="D400" s="8"/>
      <c r="E400" s="4"/>
      <c r="F400" s="8"/>
      <c r="G400" s="4"/>
      <c r="H400" s="8"/>
      <c r="I400" s="4"/>
    </row>
    <row r="401" spans="1:9" x14ac:dyDescent="0.15">
      <c r="A401" s="1" t="s">
        <v>18</v>
      </c>
      <c r="C401" s="4"/>
      <c r="D401" s="8"/>
      <c r="E401" s="4"/>
      <c r="F401" s="8"/>
      <c r="G401" s="4"/>
      <c r="H401" s="8"/>
      <c r="I401" s="4"/>
    </row>
    <row r="402" spans="1:9" x14ac:dyDescent="0.15">
      <c r="A402" s="2">
        <v>1</v>
      </c>
      <c r="B402" s="1" t="s">
        <v>134</v>
      </c>
      <c r="C402" s="4">
        <v>53</v>
      </c>
      <c r="D402" s="8">
        <v>6.58</v>
      </c>
      <c r="E402" s="4">
        <v>47</v>
      </c>
      <c r="F402" s="8">
        <v>8.7200000000000006</v>
      </c>
      <c r="G402" s="4">
        <v>6</v>
      </c>
      <c r="H402" s="8">
        <v>2.2599999999999998</v>
      </c>
      <c r="I402" s="4">
        <v>0</v>
      </c>
    </row>
    <row r="403" spans="1:9" x14ac:dyDescent="0.15">
      <c r="A403" s="2">
        <v>2</v>
      </c>
      <c r="B403" s="1" t="s">
        <v>141</v>
      </c>
      <c r="C403" s="4">
        <v>45</v>
      </c>
      <c r="D403" s="8">
        <v>5.58</v>
      </c>
      <c r="E403" s="4">
        <v>45</v>
      </c>
      <c r="F403" s="8">
        <v>8.35</v>
      </c>
      <c r="G403" s="4">
        <v>0</v>
      </c>
      <c r="H403" s="8">
        <v>0</v>
      </c>
      <c r="I403" s="4">
        <v>0</v>
      </c>
    </row>
    <row r="404" spans="1:9" x14ac:dyDescent="0.15">
      <c r="A404" s="2">
        <v>3</v>
      </c>
      <c r="B404" s="1" t="s">
        <v>140</v>
      </c>
      <c r="C404" s="4">
        <v>28</v>
      </c>
      <c r="D404" s="8">
        <v>3.47</v>
      </c>
      <c r="E404" s="4">
        <v>27</v>
      </c>
      <c r="F404" s="8">
        <v>5.01</v>
      </c>
      <c r="G404" s="4">
        <v>1</v>
      </c>
      <c r="H404" s="8">
        <v>0.38</v>
      </c>
      <c r="I404" s="4">
        <v>0</v>
      </c>
    </row>
    <row r="405" spans="1:9" x14ac:dyDescent="0.15">
      <c r="A405" s="2">
        <v>4</v>
      </c>
      <c r="B405" s="1" t="s">
        <v>132</v>
      </c>
      <c r="C405" s="4">
        <v>25</v>
      </c>
      <c r="D405" s="8">
        <v>3.1</v>
      </c>
      <c r="E405" s="4">
        <v>19</v>
      </c>
      <c r="F405" s="8">
        <v>3.53</v>
      </c>
      <c r="G405" s="4">
        <v>6</v>
      </c>
      <c r="H405" s="8">
        <v>2.2599999999999998</v>
      </c>
      <c r="I405" s="4">
        <v>0</v>
      </c>
    </row>
    <row r="406" spans="1:9" x14ac:dyDescent="0.15">
      <c r="A406" s="2">
        <v>4</v>
      </c>
      <c r="B406" s="1" t="s">
        <v>143</v>
      </c>
      <c r="C406" s="4">
        <v>25</v>
      </c>
      <c r="D406" s="8">
        <v>3.1</v>
      </c>
      <c r="E406" s="4">
        <v>22</v>
      </c>
      <c r="F406" s="8">
        <v>4.08</v>
      </c>
      <c r="G406" s="4">
        <v>3</v>
      </c>
      <c r="H406" s="8">
        <v>1.1299999999999999</v>
      </c>
      <c r="I406" s="4">
        <v>0</v>
      </c>
    </row>
    <row r="407" spans="1:9" x14ac:dyDescent="0.15">
      <c r="A407" s="2">
        <v>6</v>
      </c>
      <c r="B407" s="1" t="s">
        <v>125</v>
      </c>
      <c r="C407" s="4">
        <v>22</v>
      </c>
      <c r="D407" s="8">
        <v>2.73</v>
      </c>
      <c r="E407" s="4">
        <v>7</v>
      </c>
      <c r="F407" s="8">
        <v>1.3</v>
      </c>
      <c r="G407" s="4">
        <v>15</v>
      </c>
      <c r="H407" s="8">
        <v>5.66</v>
      </c>
      <c r="I407" s="4">
        <v>0</v>
      </c>
    </row>
    <row r="408" spans="1:9" x14ac:dyDescent="0.15">
      <c r="A408" s="2">
        <v>6</v>
      </c>
      <c r="B408" s="1" t="s">
        <v>127</v>
      </c>
      <c r="C408" s="4">
        <v>22</v>
      </c>
      <c r="D408" s="8">
        <v>2.73</v>
      </c>
      <c r="E408" s="4">
        <v>15</v>
      </c>
      <c r="F408" s="8">
        <v>2.78</v>
      </c>
      <c r="G408" s="4">
        <v>7</v>
      </c>
      <c r="H408" s="8">
        <v>2.64</v>
      </c>
      <c r="I408" s="4">
        <v>0</v>
      </c>
    </row>
    <row r="409" spans="1:9" x14ac:dyDescent="0.15">
      <c r="A409" s="2">
        <v>6</v>
      </c>
      <c r="B409" s="1" t="s">
        <v>148</v>
      </c>
      <c r="C409" s="4">
        <v>22</v>
      </c>
      <c r="D409" s="8">
        <v>2.73</v>
      </c>
      <c r="E409" s="4">
        <v>20</v>
      </c>
      <c r="F409" s="8">
        <v>3.71</v>
      </c>
      <c r="G409" s="4">
        <v>2</v>
      </c>
      <c r="H409" s="8">
        <v>0.75</v>
      </c>
      <c r="I409" s="4">
        <v>0</v>
      </c>
    </row>
    <row r="410" spans="1:9" x14ac:dyDescent="0.15">
      <c r="A410" s="2">
        <v>6</v>
      </c>
      <c r="B410" s="1" t="s">
        <v>138</v>
      </c>
      <c r="C410" s="4">
        <v>22</v>
      </c>
      <c r="D410" s="8">
        <v>2.73</v>
      </c>
      <c r="E410" s="4">
        <v>22</v>
      </c>
      <c r="F410" s="8">
        <v>4.08</v>
      </c>
      <c r="G410" s="4">
        <v>0</v>
      </c>
      <c r="H410" s="8">
        <v>0</v>
      </c>
      <c r="I410" s="4">
        <v>0</v>
      </c>
    </row>
    <row r="411" spans="1:9" x14ac:dyDescent="0.15">
      <c r="A411" s="2">
        <v>10</v>
      </c>
      <c r="B411" s="1" t="s">
        <v>137</v>
      </c>
      <c r="C411" s="4">
        <v>19</v>
      </c>
      <c r="D411" s="8">
        <v>2.36</v>
      </c>
      <c r="E411" s="4">
        <v>16</v>
      </c>
      <c r="F411" s="8">
        <v>2.97</v>
      </c>
      <c r="G411" s="4">
        <v>3</v>
      </c>
      <c r="H411" s="8">
        <v>1.1299999999999999</v>
      </c>
      <c r="I411" s="4">
        <v>0</v>
      </c>
    </row>
    <row r="412" spans="1:9" x14ac:dyDescent="0.15">
      <c r="A412" s="2">
        <v>11</v>
      </c>
      <c r="B412" s="1" t="s">
        <v>144</v>
      </c>
      <c r="C412" s="4">
        <v>18</v>
      </c>
      <c r="D412" s="8">
        <v>2.23</v>
      </c>
      <c r="E412" s="4">
        <v>17</v>
      </c>
      <c r="F412" s="8">
        <v>3.15</v>
      </c>
      <c r="G412" s="4">
        <v>1</v>
      </c>
      <c r="H412" s="8">
        <v>0.38</v>
      </c>
      <c r="I412" s="4">
        <v>0</v>
      </c>
    </row>
    <row r="413" spans="1:9" x14ac:dyDescent="0.15">
      <c r="A413" s="2">
        <v>12</v>
      </c>
      <c r="B413" s="1" t="s">
        <v>151</v>
      </c>
      <c r="C413" s="4">
        <v>16</v>
      </c>
      <c r="D413" s="8">
        <v>1.99</v>
      </c>
      <c r="E413" s="4">
        <v>16</v>
      </c>
      <c r="F413" s="8">
        <v>2.97</v>
      </c>
      <c r="G413" s="4">
        <v>0</v>
      </c>
      <c r="H413" s="8">
        <v>0</v>
      </c>
      <c r="I413" s="4">
        <v>0</v>
      </c>
    </row>
    <row r="414" spans="1:9" x14ac:dyDescent="0.15">
      <c r="A414" s="2">
        <v>13</v>
      </c>
      <c r="B414" s="1" t="s">
        <v>130</v>
      </c>
      <c r="C414" s="4">
        <v>13</v>
      </c>
      <c r="D414" s="8">
        <v>1.61</v>
      </c>
      <c r="E414" s="4">
        <v>8</v>
      </c>
      <c r="F414" s="8">
        <v>1.48</v>
      </c>
      <c r="G414" s="4">
        <v>5</v>
      </c>
      <c r="H414" s="8">
        <v>1.89</v>
      </c>
      <c r="I414" s="4">
        <v>0</v>
      </c>
    </row>
    <row r="415" spans="1:9" x14ac:dyDescent="0.15">
      <c r="A415" s="2">
        <v>13</v>
      </c>
      <c r="B415" s="1" t="s">
        <v>142</v>
      </c>
      <c r="C415" s="4">
        <v>13</v>
      </c>
      <c r="D415" s="8">
        <v>1.61</v>
      </c>
      <c r="E415" s="4">
        <v>11</v>
      </c>
      <c r="F415" s="8">
        <v>2.04</v>
      </c>
      <c r="G415" s="4">
        <v>2</v>
      </c>
      <c r="H415" s="8">
        <v>0.75</v>
      </c>
      <c r="I415" s="4">
        <v>0</v>
      </c>
    </row>
    <row r="416" spans="1:9" x14ac:dyDescent="0.15">
      <c r="A416" s="2">
        <v>15</v>
      </c>
      <c r="B416" s="1" t="s">
        <v>155</v>
      </c>
      <c r="C416" s="4">
        <v>12</v>
      </c>
      <c r="D416" s="8">
        <v>1.49</v>
      </c>
      <c r="E416" s="4">
        <v>9</v>
      </c>
      <c r="F416" s="8">
        <v>1.67</v>
      </c>
      <c r="G416" s="4">
        <v>3</v>
      </c>
      <c r="H416" s="8">
        <v>1.1299999999999999</v>
      </c>
      <c r="I416" s="4">
        <v>0</v>
      </c>
    </row>
    <row r="417" spans="1:9" x14ac:dyDescent="0.15">
      <c r="A417" s="2">
        <v>15</v>
      </c>
      <c r="B417" s="1" t="s">
        <v>131</v>
      </c>
      <c r="C417" s="4">
        <v>12</v>
      </c>
      <c r="D417" s="8">
        <v>1.49</v>
      </c>
      <c r="E417" s="4">
        <v>6</v>
      </c>
      <c r="F417" s="8">
        <v>1.1100000000000001</v>
      </c>
      <c r="G417" s="4">
        <v>6</v>
      </c>
      <c r="H417" s="8">
        <v>2.2599999999999998</v>
      </c>
      <c r="I417" s="4">
        <v>0</v>
      </c>
    </row>
    <row r="418" spans="1:9" x14ac:dyDescent="0.15">
      <c r="A418" s="2">
        <v>15</v>
      </c>
      <c r="B418" s="1" t="s">
        <v>135</v>
      </c>
      <c r="C418" s="4">
        <v>12</v>
      </c>
      <c r="D418" s="8">
        <v>1.49</v>
      </c>
      <c r="E418" s="4">
        <v>10</v>
      </c>
      <c r="F418" s="8">
        <v>1.86</v>
      </c>
      <c r="G418" s="4">
        <v>2</v>
      </c>
      <c r="H418" s="8">
        <v>0.75</v>
      </c>
      <c r="I418" s="4">
        <v>0</v>
      </c>
    </row>
    <row r="419" spans="1:9" x14ac:dyDescent="0.15">
      <c r="A419" s="2">
        <v>15</v>
      </c>
      <c r="B419" s="1" t="s">
        <v>166</v>
      </c>
      <c r="C419" s="4">
        <v>12</v>
      </c>
      <c r="D419" s="8">
        <v>1.49</v>
      </c>
      <c r="E419" s="4">
        <v>12</v>
      </c>
      <c r="F419" s="8">
        <v>2.23</v>
      </c>
      <c r="G419" s="4">
        <v>0</v>
      </c>
      <c r="H419" s="8">
        <v>0</v>
      </c>
      <c r="I419" s="4">
        <v>0</v>
      </c>
    </row>
    <row r="420" spans="1:9" x14ac:dyDescent="0.15">
      <c r="A420" s="2">
        <v>19</v>
      </c>
      <c r="B420" s="1" t="s">
        <v>146</v>
      </c>
      <c r="C420" s="4">
        <v>11</v>
      </c>
      <c r="D420" s="8">
        <v>1.36</v>
      </c>
      <c r="E420" s="4">
        <v>8</v>
      </c>
      <c r="F420" s="8">
        <v>1.48</v>
      </c>
      <c r="G420" s="4">
        <v>3</v>
      </c>
      <c r="H420" s="8">
        <v>1.1299999999999999</v>
      </c>
      <c r="I420" s="4">
        <v>0</v>
      </c>
    </row>
    <row r="421" spans="1:9" x14ac:dyDescent="0.15">
      <c r="A421" s="2">
        <v>20</v>
      </c>
      <c r="B421" s="1" t="s">
        <v>167</v>
      </c>
      <c r="C421" s="4">
        <v>10</v>
      </c>
      <c r="D421" s="8">
        <v>1.24</v>
      </c>
      <c r="E421" s="4">
        <v>6</v>
      </c>
      <c r="F421" s="8">
        <v>1.1100000000000001</v>
      </c>
      <c r="G421" s="4">
        <v>4</v>
      </c>
      <c r="H421" s="8">
        <v>1.51</v>
      </c>
      <c r="I421" s="4">
        <v>0</v>
      </c>
    </row>
    <row r="422" spans="1:9" x14ac:dyDescent="0.15">
      <c r="A422" s="2">
        <v>20</v>
      </c>
      <c r="B422" s="1" t="s">
        <v>168</v>
      </c>
      <c r="C422" s="4">
        <v>10</v>
      </c>
      <c r="D422" s="8">
        <v>1.24</v>
      </c>
      <c r="E422" s="4">
        <v>4</v>
      </c>
      <c r="F422" s="8">
        <v>0.74</v>
      </c>
      <c r="G422" s="4">
        <v>6</v>
      </c>
      <c r="H422" s="8">
        <v>2.2599999999999998</v>
      </c>
      <c r="I422" s="4">
        <v>0</v>
      </c>
    </row>
    <row r="423" spans="1:9" x14ac:dyDescent="0.15">
      <c r="A423" s="2">
        <v>20</v>
      </c>
      <c r="B423" s="1" t="s">
        <v>128</v>
      </c>
      <c r="C423" s="4">
        <v>10</v>
      </c>
      <c r="D423" s="8">
        <v>1.24</v>
      </c>
      <c r="E423" s="4">
        <v>8</v>
      </c>
      <c r="F423" s="8">
        <v>1.48</v>
      </c>
      <c r="G423" s="4">
        <v>2</v>
      </c>
      <c r="H423" s="8">
        <v>0.75</v>
      </c>
      <c r="I423" s="4">
        <v>0</v>
      </c>
    </row>
    <row r="424" spans="1:9" x14ac:dyDescent="0.15">
      <c r="A424" s="1"/>
      <c r="C424" s="4"/>
      <c r="D424" s="8"/>
      <c r="E424" s="4"/>
      <c r="F424" s="8"/>
      <c r="G424" s="4"/>
      <c r="H424" s="8"/>
      <c r="I424" s="4"/>
    </row>
    <row r="425" spans="1:9" x14ac:dyDescent="0.15">
      <c r="A425" s="1" t="s">
        <v>19</v>
      </c>
      <c r="C425" s="4"/>
      <c r="D425" s="8"/>
      <c r="E425" s="4"/>
      <c r="F425" s="8"/>
      <c r="G425" s="4"/>
      <c r="H425" s="8"/>
      <c r="I425" s="4"/>
    </row>
    <row r="426" spans="1:9" x14ac:dyDescent="0.15">
      <c r="A426" s="2">
        <v>1</v>
      </c>
      <c r="B426" s="1" t="s">
        <v>170</v>
      </c>
      <c r="C426" s="4">
        <v>141</v>
      </c>
      <c r="D426" s="8">
        <v>4.3099999999999996</v>
      </c>
      <c r="E426" s="4">
        <v>131</v>
      </c>
      <c r="F426" s="8">
        <v>5.43</v>
      </c>
      <c r="G426" s="4">
        <v>10</v>
      </c>
      <c r="H426" s="8">
        <v>1.19</v>
      </c>
      <c r="I426" s="4">
        <v>0</v>
      </c>
    </row>
    <row r="427" spans="1:9" x14ac:dyDescent="0.15">
      <c r="A427" s="2">
        <v>2</v>
      </c>
      <c r="B427" s="1" t="s">
        <v>138</v>
      </c>
      <c r="C427" s="4">
        <v>135</v>
      </c>
      <c r="D427" s="8">
        <v>4.13</v>
      </c>
      <c r="E427" s="4">
        <v>124</v>
      </c>
      <c r="F427" s="8">
        <v>5.14</v>
      </c>
      <c r="G427" s="4">
        <v>10</v>
      </c>
      <c r="H427" s="8">
        <v>1.19</v>
      </c>
      <c r="I427" s="4">
        <v>1</v>
      </c>
    </row>
    <row r="428" spans="1:9" x14ac:dyDescent="0.15">
      <c r="A428" s="2">
        <v>2</v>
      </c>
      <c r="B428" s="1" t="s">
        <v>141</v>
      </c>
      <c r="C428" s="4">
        <v>135</v>
      </c>
      <c r="D428" s="8">
        <v>4.13</v>
      </c>
      <c r="E428" s="4">
        <v>132</v>
      </c>
      <c r="F428" s="8">
        <v>5.47</v>
      </c>
      <c r="G428" s="4">
        <v>3</v>
      </c>
      <c r="H428" s="8">
        <v>0.36</v>
      </c>
      <c r="I428" s="4">
        <v>0</v>
      </c>
    </row>
    <row r="429" spans="1:9" x14ac:dyDescent="0.15">
      <c r="A429" s="2">
        <v>4</v>
      </c>
      <c r="B429" s="1" t="s">
        <v>169</v>
      </c>
      <c r="C429" s="4">
        <v>115</v>
      </c>
      <c r="D429" s="8">
        <v>3.52</v>
      </c>
      <c r="E429" s="4">
        <v>89</v>
      </c>
      <c r="F429" s="8">
        <v>3.69</v>
      </c>
      <c r="G429" s="4">
        <v>26</v>
      </c>
      <c r="H429" s="8">
        <v>3.1</v>
      </c>
      <c r="I429" s="4">
        <v>0</v>
      </c>
    </row>
    <row r="430" spans="1:9" x14ac:dyDescent="0.15">
      <c r="A430" s="2">
        <v>5</v>
      </c>
      <c r="B430" s="1" t="s">
        <v>137</v>
      </c>
      <c r="C430" s="4">
        <v>100</v>
      </c>
      <c r="D430" s="8">
        <v>3.06</v>
      </c>
      <c r="E430" s="4">
        <v>98</v>
      </c>
      <c r="F430" s="8">
        <v>4.0599999999999996</v>
      </c>
      <c r="G430" s="4">
        <v>2</v>
      </c>
      <c r="H430" s="8">
        <v>0.24</v>
      </c>
      <c r="I430" s="4">
        <v>0</v>
      </c>
    </row>
    <row r="431" spans="1:9" x14ac:dyDescent="0.15">
      <c r="A431" s="2">
        <v>6</v>
      </c>
      <c r="B431" s="1" t="s">
        <v>134</v>
      </c>
      <c r="C431" s="4">
        <v>96</v>
      </c>
      <c r="D431" s="8">
        <v>2.94</v>
      </c>
      <c r="E431" s="4">
        <v>79</v>
      </c>
      <c r="F431" s="8">
        <v>3.28</v>
      </c>
      <c r="G431" s="4">
        <v>17</v>
      </c>
      <c r="H431" s="8">
        <v>2.02</v>
      </c>
      <c r="I431" s="4">
        <v>0</v>
      </c>
    </row>
    <row r="432" spans="1:9" x14ac:dyDescent="0.15">
      <c r="A432" s="2">
        <v>7</v>
      </c>
      <c r="B432" s="1" t="s">
        <v>132</v>
      </c>
      <c r="C432" s="4">
        <v>90</v>
      </c>
      <c r="D432" s="8">
        <v>2.75</v>
      </c>
      <c r="E432" s="4">
        <v>72</v>
      </c>
      <c r="F432" s="8">
        <v>2.99</v>
      </c>
      <c r="G432" s="4">
        <v>18</v>
      </c>
      <c r="H432" s="8">
        <v>2.14</v>
      </c>
      <c r="I432" s="4">
        <v>0</v>
      </c>
    </row>
    <row r="433" spans="1:9" x14ac:dyDescent="0.15">
      <c r="A433" s="2">
        <v>8</v>
      </c>
      <c r="B433" s="1" t="s">
        <v>140</v>
      </c>
      <c r="C433" s="4">
        <v>78</v>
      </c>
      <c r="D433" s="8">
        <v>2.39</v>
      </c>
      <c r="E433" s="4">
        <v>78</v>
      </c>
      <c r="F433" s="8">
        <v>3.23</v>
      </c>
      <c r="G433" s="4">
        <v>0</v>
      </c>
      <c r="H433" s="8">
        <v>0</v>
      </c>
      <c r="I433" s="4">
        <v>0</v>
      </c>
    </row>
    <row r="434" spans="1:9" x14ac:dyDescent="0.15">
      <c r="A434" s="2">
        <v>9</v>
      </c>
      <c r="B434" s="1" t="s">
        <v>167</v>
      </c>
      <c r="C434" s="4">
        <v>76</v>
      </c>
      <c r="D434" s="8">
        <v>2.3199999999999998</v>
      </c>
      <c r="E434" s="4">
        <v>56</v>
      </c>
      <c r="F434" s="8">
        <v>2.3199999999999998</v>
      </c>
      <c r="G434" s="4">
        <v>20</v>
      </c>
      <c r="H434" s="8">
        <v>2.38</v>
      </c>
      <c r="I434" s="4">
        <v>0</v>
      </c>
    </row>
    <row r="435" spans="1:9" x14ac:dyDescent="0.15">
      <c r="A435" s="2">
        <v>10</v>
      </c>
      <c r="B435" s="1" t="s">
        <v>143</v>
      </c>
      <c r="C435" s="4">
        <v>71</v>
      </c>
      <c r="D435" s="8">
        <v>2.17</v>
      </c>
      <c r="E435" s="4">
        <v>66</v>
      </c>
      <c r="F435" s="8">
        <v>2.74</v>
      </c>
      <c r="G435" s="4">
        <v>5</v>
      </c>
      <c r="H435" s="8">
        <v>0.6</v>
      </c>
      <c r="I435" s="4">
        <v>0</v>
      </c>
    </row>
    <row r="436" spans="1:9" x14ac:dyDescent="0.15">
      <c r="A436" s="2">
        <v>11</v>
      </c>
      <c r="B436" s="1" t="s">
        <v>125</v>
      </c>
      <c r="C436" s="4">
        <v>64</v>
      </c>
      <c r="D436" s="8">
        <v>1.96</v>
      </c>
      <c r="E436" s="4">
        <v>24</v>
      </c>
      <c r="F436" s="8">
        <v>1</v>
      </c>
      <c r="G436" s="4">
        <v>40</v>
      </c>
      <c r="H436" s="8">
        <v>4.76</v>
      </c>
      <c r="I436" s="4">
        <v>0</v>
      </c>
    </row>
    <row r="437" spans="1:9" x14ac:dyDescent="0.15">
      <c r="A437" s="2">
        <v>11</v>
      </c>
      <c r="B437" s="1" t="s">
        <v>146</v>
      </c>
      <c r="C437" s="4">
        <v>64</v>
      </c>
      <c r="D437" s="8">
        <v>1.96</v>
      </c>
      <c r="E437" s="4">
        <v>43</v>
      </c>
      <c r="F437" s="8">
        <v>1.78</v>
      </c>
      <c r="G437" s="4">
        <v>21</v>
      </c>
      <c r="H437" s="8">
        <v>2.5</v>
      </c>
      <c r="I437" s="4">
        <v>0</v>
      </c>
    </row>
    <row r="438" spans="1:9" x14ac:dyDescent="0.15">
      <c r="A438" s="2">
        <v>13</v>
      </c>
      <c r="B438" s="1" t="s">
        <v>135</v>
      </c>
      <c r="C438" s="4">
        <v>63</v>
      </c>
      <c r="D438" s="8">
        <v>1.93</v>
      </c>
      <c r="E438" s="4">
        <v>56</v>
      </c>
      <c r="F438" s="8">
        <v>2.3199999999999998</v>
      </c>
      <c r="G438" s="4">
        <v>7</v>
      </c>
      <c r="H438" s="8">
        <v>0.83</v>
      </c>
      <c r="I438" s="4">
        <v>0</v>
      </c>
    </row>
    <row r="439" spans="1:9" x14ac:dyDescent="0.15">
      <c r="A439" s="2">
        <v>14</v>
      </c>
      <c r="B439" s="1" t="s">
        <v>136</v>
      </c>
      <c r="C439" s="4">
        <v>59</v>
      </c>
      <c r="D439" s="8">
        <v>1.8</v>
      </c>
      <c r="E439" s="4">
        <v>59</v>
      </c>
      <c r="F439" s="8">
        <v>2.4500000000000002</v>
      </c>
      <c r="G439" s="4">
        <v>0</v>
      </c>
      <c r="H439" s="8">
        <v>0</v>
      </c>
      <c r="I439" s="4">
        <v>0</v>
      </c>
    </row>
    <row r="440" spans="1:9" x14ac:dyDescent="0.15">
      <c r="A440" s="2">
        <v>15</v>
      </c>
      <c r="B440" s="1" t="s">
        <v>131</v>
      </c>
      <c r="C440" s="4">
        <v>58</v>
      </c>
      <c r="D440" s="8">
        <v>1.77</v>
      </c>
      <c r="E440" s="4">
        <v>35</v>
      </c>
      <c r="F440" s="8">
        <v>1.45</v>
      </c>
      <c r="G440" s="4">
        <v>23</v>
      </c>
      <c r="H440" s="8">
        <v>2.74</v>
      </c>
      <c r="I440" s="4">
        <v>0</v>
      </c>
    </row>
    <row r="441" spans="1:9" x14ac:dyDescent="0.15">
      <c r="A441" s="2">
        <v>16</v>
      </c>
      <c r="B441" s="1" t="s">
        <v>144</v>
      </c>
      <c r="C441" s="4">
        <v>57</v>
      </c>
      <c r="D441" s="8">
        <v>1.74</v>
      </c>
      <c r="E441" s="4">
        <v>55</v>
      </c>
      <c r="F441" s="8">
        <v>2.2799999999999998</v>
      </c>
      <c r="G441" s="4">
        <v>2</v>
      </c>
      <c r="H441" s="8">
        <v>0.24</v>
      </c>
      <c r="I441" s="4">
        <v>0</v>
      </c>
    </row>
    <row r="442" spans="1:9" x14ac:dyDescent="0.15">
      <c r="A442" s="2">
        <v>17</v>
      </c>
      <c r="B442" s="1" t="s">
        <v>127</v>
      </c>
      <c r="C442" s="4">
        <v>56</v>
      </c>
      <c r="D442" s="8">
        <v>1.71</v>
      </c>
      <c r="E442" s="4">
        <v>43</v>
      </c>
      <c r="F442" s="8">
        <v>1.78</v>
      </c>
      <c r="G442" s="4">
        <v>13</v>
      </c>
      <c r="H442" s="8">
        <v>1.55</v>
      </c>
      <c r="I442" s="4">
        <v>0</v>
      </c>
    </row>
    <row r="443" spans="1:9" x14ac:dyDescent="0.15">
      <c r="A443" s="2">
        <v>18</v>
      </c>
      <c r="B443" s="1" t="s">
        <v>171</v>
      </c>
      <c r="C443" s="4">
        <v>51</v>
      </c>
      <c r="D443" s="8">
        <v>1.56</v>
      </c>
      <c r="E443" s="4">
        <v>47</v>
      </c>
      <c r="F443" s="8">
        <v>1.95</v>
      </c>
      <c r="G443" s="4">
        <v>4</v>
      </c>
      <c r="H443" s="8">
        <v>0.48</v>
      </c>
      <c r="I443" s="4">
        <v>0</v>
      </c>
    </row>
    <row r="444" spans="1:9" x14ac:dyDescent="0.15">
      <c r="A444" s="2">
        <v>19</v>
      </c>
      <c r="B444" s="1" t="s">
        <v>155</v>
      </c>
      <c r="C444" s="4">
        <v>49</v>
      </c>
      <c r="D444" s="8">
        <v>1.5</v>
      </c>
      <c r="E444" s="4">
        <v>45</v>
      </c>
      <c r="F444" s="8">
        <v>1.87</v>
      </c>
      <c r="G444" s="4">
        <v>4</v>
      </c>
      <c r="H444" s="8">
        <v>0.48</v>
      </c>
      <c r="I444" s="4">
        <v>0</v>
      </c>
    </row>
    <row r="445" spans="1:9" x14ac:dyDescent="0.15">
      <c r="A445" s="2">
        <v>19</v>
      </c>
      <c r="B445" s="1" t="s">
        <v>130</v>
      </c>
      <c r="C445" s="4">
        <v>49</v>
      </c>
      <c r="D445" s="8">
        <v>1.5</v>
      </c>
      <c r="E445" s="4">
        <v>30</v>
      </c>
      <c r="F445" s="8">
        <v>1.24</v>
      </c>
      <c r="G445" s="4">
        <v>19</v>
      </c>
      <c r="H445" s="8">
        <v>2.2599999999999998</v>
      </c>
      <c r="I445" s="4">
        <v>0</v>
      </c>
    </row>
    <row r="446" spans="1:9" x14ac:dyDescent="0.15">
      <c r="A446" s="1"/>
      <c r="C446" s="4"/>
      <c r="D446" s="8"/>
      <c r="E446" s="4"/>
      <c r="F446" s="8"/>
      <c r="G446" s="4"/>
      <c r="H446" s="8"/>
      <c r="I446" s="4"/>
    </row>
    <row r="447" spans="1:9" x14ac:dyDescent="0.15">
      <c r="A447" s="1" t="s">
        <v>20</v>
      </c>
      <c r="C447" s="4"/>
      <c r="D447" s="8"/>
      <c r="E447" s="4"/>
      <c r="F447" s="8"/>
      <c r="G447" s="4"/>
      <c r="H447" s="8"/>
      <c r="I447" s="4"/>
    </row>
    <row r="448" spans="1:9" x14ac:dyDescent="0.15">
      <c r="A448" s="2">
        <v>1</v>
      </c>
      <c r="B448" s="1" t="s">
        <v>141</v>
      </c>
      <c r="C448" s="4">
        <v>297</v>
      </c>
      <c r="D448" s="8">
        <v>6.22</v>
      </c>
      <c r="E448" s="4">
        <v>280</v>
      </c>
      <c r="F448" s="8">
        <v>9.59</v>
      </c>
      <c r="G448" s="4">
        <v>17</v>
      </c>
      <c r="H448" s="8">
        <v>0.92</v>
      </c>
      <c r="I448" s="4">
        <v>0</v>
      </c>
    </row>
    <row r="449" spans="1:9" x14ac:dyDescent="0.15">
      <c r="A449" s="2">
        <v>2</v>
      </c>
      <c r="B449" s="1" t="s">
        <v>138</v>
      </c>
      <c r="C449" s="4">
        <v>193</v>
      </c>
      <c r="D449" s="8">
        <v>4.04</v>
      </c>
      <c r="E449" s="4">
        <v>183</v>
      </c>
      <c r="F449" s="8">
        <v>6.27</v>
      </c>
      <c r="G449" s="4">
        <v>9</v>
      </c>
      <c r="H449" s="8">
        <v>0.49</v>
      </c>
      <c r="I449" s="4">
        <v>1</v>
      </c>
    </row>
    <row r="450" spans="1:9" x14ac:dyDescent="0.15">
      <c r="A450" s="2">
        <v>3</v>
      </c>
      <c r="B450" s="1" t="s">
        <v>134</v>
      </c>
      <c r="C450" s="4">
        <v>172</v>
      </c>
      <c r="D450" s="8">
        <v>3.6</v>
      </c>
      <c r="E450" s="4">
        <v>142</v>
      </c>
      <c r="F450" s="8">
        <v>4.8600000000000003</v>
      </c>
      <c r="G450" s="4">
        <v>30</v>
      </c>
      <c r="H450" s="8">
        <v>1.63</v>
      </c>
      <c r="I450" s="4">
        <v>0</v>
      </c>
    </row>
    <row r="451" spans="1:9" x14ac:dyDescent="0.15">
      <c r="A451" s="2">
        <v>4</v>
      </c>
      <c r="B451" s="1" t="s">
        <v>143</v>
      </c>
      <c r="C451" s="4">
        <v>163</v>
      </c>
      <c r="D451" s="8">
        <v>3.41</v>
      </c>
      <c r="E451" s="4">
        <v>140</v>
      </c>
      <c r="F451" s="8">
        <v>4.79</v>
      </c>
      <c r="G451" s="4">
        <v>23</v>
      </c>
      <c r="H451" s="8">
        <v>1.25</v>
      </c>
      <c r="I451" s="4">
        <v>0</v>
      </c>
    </row>
    <row r="452" spans="1:9" x14ac:dyDescent="0.15">
      <c r="A452" s="2">
        <v>5</v>
      </c>
      <c r="B452" s="1" t="s">
        <v>140</v>
      </c>
      <c r="C452" s="4">
        <v>142</v>
      </c>
      <c r="D452" s="8">
        <v>2.97</v>
      </c>
      <c r="E452" s="4">
        <v>136</v>
      </c>
      <c r="F452" s="8">
        <v>4.66</v>
      </c>
      <c r="G452" s="4">
        <v>6</v>
      </c>
      <c r="H452" s="8">
        <v>0.33</v>
      </c>
      <c r="I452" s="4">
        <v>0</v>
      </c>
    </row>
    <row r="453" spans="1:9" x14ac:dyDescent="0.15">
      <c r="A453" s="2">
        <v>6</v>
      </c>
      <c r="B453" s="1" t="s">
        <v>136</v>
      </c>
      <c r="C453" s="4">
        <v>118</v>
      </c>
      <c r="D453" s="8">
        <v>2.4700000000000002</v>
      </c>
      <c r="E453" s="4">
        <v>114</v>
      </c>
      <c r="F453" s="8">
        <v>3.9</v>
      </c>
      <c r="G453" s="4">
        <v>4</v>
      </c>
      <c r="H453" s="8">
        <v>0.22</v>
      </c>
      <c r="I453" s="4">
        <v>0</v>
      </c>
    </row>
    <row r="454" spans="1:9" x14ac:dyDescent="0.15">
      <c r="A454" s="2">
        <v>7</v>
      </c>
      <c r="B454" s="1" t="s">
        <v>132</v>
      </c>
      <c r="C454" s="4">
        <v>113</v>
      </c>
      <c r="D454" s="8">
        <v>2.37</v>
      </c>
      <c r="E454" s="4">
        <v>78</v>
      </c>
      <c r="F454" s="8">
        <v>2.67</v>
      </c>
      <c r="G454" s="4">
        <v>35</v>
      </c>
      <c r="H454" s="8">
        <v>1.9</v>
      </c>
      <c r="I454" s="4">
        <v>0</v>
      </c>
    </row>
    <row r="455" spans="1:9" x14ac:dyDescent="0.15">
      <c r="A455" s="2">
        <v>8</v>
      </c>
      <c r="B455" s="1" t="s">
        <v>148</v>
      </c>
      <c r="C455" s="4">
        <v>104</v>
      </c>
      <c r="D455" s="8">
        <v>2.1800000000000002</v>
      </c>
      <c r="E455" s="4">
        <v>96</v>
      </c>
      <c r="F455" s="8">
        <v>3.29</v>
      </c>
      <c r="G455" s="4">
        <v>8</v>
      </c>
      <c r="H455" s="8">
        <v>0.43</v>
      </c>
      <c r="I455" s="4">
        <v>0</v>
      </c>
    </row>
    <row r="456" spans="1:9" x14ac:dyDescent="0.15">
      <c r="A456" s="2">
        <v>8</v>
      </c>
      <c r="B456" s="1" t="s">
        <v>135</v>
      </c>
      <c r="C456" s="4">
        <v>104</v>
      </c>
      <c r="D456" s="8">
        <v>2.1800000000000002</v>
      </c>
      <c r="E456" s="4">
        <v>96</v>
      </c>
      <c r="F456" s="8">
        <v>3.29</v>
      </c>
      <c r="G456" s="4">
        <v>8</v>
      </c>
      <c r="H456" s="8">
        <v>0.43</v>
      </c>
      <c r="I456" s="4">
        <v>0</v>
      </c>
    </row>
    <row r="457" spans="1:9" x14ac:dyDescent="0.15">
      <c r="A457" s="2">
        <v>10</v>
      </c>
      <c r="B457" s="1" t="s">
        <v>144</v>
      </c>
      <c r="C457" s="4">
        <v>103</v>
      </c>
      <c r="D457" s="8">
        <v>2.16</v>
      </c>
      <c r="E457" s="4">
        <v>98</v>
      </c>
      <c r="F457" s="8">
        <v>3.36</v>
      </c>
      <c r="G457" s="4">
        <v>5</v>
      </c>
      <c r="H457" s="8">
        <v>0.27</v>
      </c>
      <c r="I457" s="4">
        <v>0</v>
      </c>
    </row>
    <row r="458" spans="1:9" x14ac:dyDescent="0.15">
      <c r="A458" s="2">
        <v>11</v>
      </c>
      <c r="B458" s="1" t="s">
        <v>137</v>
      </c>
      <c r="C458" s="4">
        <v>101</v>
      </c>
      <c r="D458" s="8">
        <v>2.11</v>
      </c>
      <c r="E458" s="4">
        <v>100</v>
      </c>
      <c r="F458" s="8">
        <v>3.42</v>
      </c>
      <c r="G458" s="4">
        <v>1</v>
      </c>
      <c r="H458" s="8">
        <v>0.05</v>
      </c>
      <c r="I458" s="4">
        <v>0</v>
      </c>
    </row>
    <row r="459" spans="1:9" x14ac:dyDescent="0.15">
      <c r="A459" s="2">
        <v>12</v>
      </c>
      <c r="B459" s="1" t="s">
        <v>130</v>
      </c>
      <c r="C459" s="4">
        <v>99</v>
      </c>
      <c r="D459" s="8">
        <v>2.0699999999999998</v>
      </c>
      <c r="E459" s="4">
        <v>68</v>
      </c>
      <c r="F459" s="8">
        <v>2.33</v>
      </c>
      <c r="G459" s="4">
        <v>31</v>
      </c>
      <c r="H459" s="8">
        <v>1.68</v>
      </c>
      <c r="I459" s="4">
        <v>0</v>
      </c>
    </row>
    <row r="460" spans="1:9" x14ac:dyDescent="0.15">
      <c r="A460" s="2">
        <v>13</v>
      </c>
      <c r="B460" s="1" t="s">
        <v>126</v>
      </c>
      <c r="C460" s="4">
        <v>82</v>
      </c>
      <c r="D460" s="8">
        <v>1.72</v>
      </c>
      <c r="E460" s="4">
        <v>19</v>
      </c>
      <c r="F460" s="8">
        <v>0.65</v>
      </c>
      <c r="G460" s="4">
        <v>63</v>
      </c>
      <c r="H460" s="8">
        <v>3.41</v>
      </c>
      <c r="I460" s="4">
        <v>0</v>
      </c>
    </row>
    <row r="461" spans="1:9" x14ac:dyDescent="0.15">
      <c r="A461" s="2">
        <v>14</v>
      </c>
      <c r="B461" s="1" t="s">
        <v>125</v>
      </c>
      <c r="C461" s="4">
        <v>79</v>
      </c>
      <c r="D461" s="8">
        <v>1.65</v>
      </c>
      <c r="E461" s="4">
        <v>19</v>
      </c>
      <c r="F461" s="8">
        <v>0.65</v>
      </c>
      <c r="G461" s="4">
        <v>60</v>
      </c>
      <c r="H461" s="8">
        <v>3.25</v>
      </c>
      <c r="I461" s="4">
        <v>0</v>
      </c>
    </row>
    <row r="462" spans="1:9" x14ac:dyDescent="0.15">
      <c r="A462" s="2">
        <v>14</v>
      </c>
      <c r="B462" s="1" t="s">
        <v>139</v>
      </c>
      <c r="C462" s="4">
        <v>79</v>
      </c>
      <c r="D462" s="8">
        <v>1.65</v>
      </c>
      <c r="E462" s="4">
        <v>31</v>
      </c>
      <c r="F462" s="8">
        <v>1.06</v>
      </c>
      <c r="G462" s="4">
        <v>48</v>
      </c>
      <c r="H462" s="8">
        <v>2.6</v>
      </c>
      <c r="I462" s="4">
        <v>0</v>
      </c>
    </row>
    <row r="463" spans="1:9" x14ac:dyDescent="0.15">
      <c r="A463" s="2">
        <v>14</v>
      </c>
      <c r="B463" s="1" t="s">
        <v>142</v>
      </c>
      <c r="C463" s="4">
        <v>79</v>
      </c>
      <c r="D463" s="8">
        <v>1.65</v>
      </c>
      <c r="E463" s="4">
        <v>65</v>
      </c>
      <c r="F463" s="8">
        <v>2.23</v>
      </c>
      <c r="G463" s="4">
        <v>14</v>
      </c>
      <c r="H463" s="8">
        <v>0.76</v>
      </c>
      <c r="I463" s="4">
        <v>0</v>
      </c>
    </row>
    <row r="464" spans="1:9" x14ac:dyDescent="0.15">
      <c r="A464" s="2">
        <v>17</v>
      </c>
      <c r="B464" s="1" t="s">
        <v>127</v>
      </c>
      <c r="C464" s="4">
        <v>73</v>
      </c>
      <c r="D464" s="8">
        <v>1.53</v>
      </c>
      <c r="E464" s="4">
        <v>27</v>
      </c>
      <c r="F464" s="8">
        <v>0.92</v>
      </c>
      <c r="G464" s="4">
        <v>46</v>
      </c>
      <c r="H464" s="8">
        <v>2.4900000000000002</v>
      </c>
      <c r="I464" s="4">
        <v>0</v>
      </c>
    </row>
    <row r="465" spans="1:9" x14ac:dyDescent="0.15">
      <c r="A465" s="2">
        <v>18</v>
      </c>
      <c r="B465" s="1" t="s">
        <v>160</v>
      </c>
      <c r="C465" s="4">
        <v>70</v>
      </c>
      <c r="D465" s="8">
        <v>1.47</v>
      </c>
      <c r="E465" s="4">
        <v>25</v>
      </c>
      <c r="F465" s="8">
        <v>0.86</v>
      </c>
      <c r="G465" s="4">
        <v>45</v>
      </c>
      <c r="H465" s="8">
        <v>2.44</v>
      </c>
      <c r="I465" s="4">
        <v>0</v>
      </c>
    </row>
    <row r="466" spans="1:9" x14ac:dyDescent="0.15">
      <c r="A466" s="2">
        <v>19</v>
      </c>
      <c r="B466" s="1" t="s">
        <v>133</v>
      </c>
      <c r="C466" s="4">
        <v>69</v>
      </c>
      <c r="D466" s="8">
        <v>1.44</v>
      </c>
      <c r="E466" s="4">
        <v>17</v>
      </c>
      <c r="F466" s="8">
        <v>0.57999999999999996</v>
      </c>
      <c r="G466" s="4">
        <v>52</v>
      </c>
      <c r="H466" s="8">
        <v>2.82</v>
      </c>
      <c r="I466" s="4">
        <v>0</v>
      </c>
    </row>
    <row r="467" spans="1:9" x14ac:dyDescent="0.15">
      <c r="A467" s="2">
        <v>20</v>
      </c>
      <c r="B467" s="1" t="s">
        <v>128</v>
      </c>
      <c r="C467" s="4">
        <v>68</v>
      </c>
      <c r="D467" s="8">
        <v>1.42</v>
      </c>
      <c r="E467" s="4">
        <v>31</v>
      </c>
      <c r="F467" s="8">
        <v>1.06</v>
      </c>
      <c r="G467" s="4">
        <v>37</v>
      </c>
      <c r="H467" s="8">
        <v>2</v>
      </c>
      <c r="I467" s="4">
        <v>0</v>
      </c>
    </row>
    <row r="468" spans="1:9" x14ac:dyDescent="0.15">
      <c r="A468" s="1"/>
      <c r="C468" s="4"/>
      <c r="D468" s="8"/>
      <c r="E468" s="4"/>
      <c r="F468" s="8"/>
      <c r="G468" s="4"/>
      <c r="H468" s="8"/>
      <c r="I468" s="4"/>
    </row>
    <row r="469" spans="1:9" x14ac:dyDescent="0.15">
      <c r="A469" s="1" t="s">
        <v>21</v>
      </c>
      <c r="C469" s="4"/>
      <c r="D469" s="8"/>
      <c r="E469" s="4"/>
      <c r="F469" s="8"/>
      <c r="G469" s="4"/>
      <c r="H469" s="8"/>
      <c r="I469" s="4"/>
    </row>
    <row r="470" spans="1:9" x14ac:dyDescent="0.15">
      <c r="A470" s="2">
        <v>1</v>
      </c>
      <c r="B470" s="1" t="s">
        <v>141</v>
      </c>
      <c r="C470" s="4">
        <v>61</v>
      </c>
      <c r="D470" s="8">
        <v>5.89</v>
      </c>
      <c r="E470" s="4">
        <v>57</v>
      </c>
      <c r="F470" s="8">
        <v>8.77</v>
      </c>
      <c r="G470" s="4">
        <v>4</v>
      </c>
      <c r="H470" s="8">
        <v>1.04</v>
      </c>
      <c r="I470" s="4">
        <v>0</v>
      </c>
    </row>
    <row r="471" spans="1:9" x14ac:dyDescent="0.15">
      <c r="A471" s="2">
        <v>2</v>
      </c>
      <c r="B471" s="1" t="s">
        <v>140</v>
      </c>
      <c r="C471" s="4">
        <v>50</v>
      </c>
      <c r="D471" s="8">
        <v>4.83</v>
      </c>
      <c r="E471" s="4">
        <v>48</v>
      </c>
      <c r="F471" s="8">
        <v>7.38</v>
      </c>
      <c r="G471" s="4">
        <v>2</v>
      </c>
      <c r="H471" s="8">
        <v>0.52</v>
      </c>
      <c r="I471" s="4">
        <v>0</v>
      </c>
    </row>
    <row r="472" spans="1:9" x14ac:dyDescent="0.15">
      <c r="A472" s="2">
        <v>3</v>
      </c>
      <c r="B472" s="1" t="s">
        <v>132</v>
      </c>
      <c r="C472" s="4">
        <v>37</v>
      </c>
      <c r="D472" s="8">
        <v>3.57</v>
      </c>
      <c r="E472" s="4">
        <v>27</v>
      </c>
      <c r="F472" s="8">
        <v>4.1500000000000004</v>
      </c>
      <c r="G472" s="4">
        <v>10</v>
      </c>
      <c r="H472" s="8">
        <v>2.6</v>
      </c>
      <c r="I472" s="4">
        <v>0</v>
      </c>
    </row>
    <row r="473" spans="1:9" x14ac:dyDescent="0.15">
      <c r="A473" s="2">
        <v>4</v>
      </c>
      <c r="B473" s="1" t="s">
        <v>138</v>
      </c>
      <c r="C473" s="4">
        <v>33</v>
      </c>
      <c r="D473" s="8">
        <v>3.19</v>
      </c>
      <c r="E473" s="4">
        <v>30</v>
      </c>
      <c r="F473" s="8">
        <v>4.62</v>
      </c>
      <c r="G473" s="4">
        <v>2</v>
      </c>
      <c r="H473" s="8">
        <v>0.52</v>
      </c>
      <c r="I473" s="4">
        <v>1</v>
      </c>
    </row>
    <row r="474" spans="1:9" x14ac:dyDescent="0.15">
      <c r="A474" s="2">
        <v>5</v>
      </c>
      <c r="B474" s="1" t="s">
        <v>125</v>
      </c>
      <c r="C474" s="4">
        <v>28</v>
      </c>
      <c r="D474" s="8">
        <v>2.7</v>
      </c>
      <c r="E474" s="4">
        <v>6</v>
      </c>
      <c r="F474" s="8">
        <v>0.92</v>
      </c>
      <c r="G474" s="4">
        <v>22</v>
      </c>
      <c r="H474" s="8">
        <v>5.73</v>
      </c>
      <c r="I474" s="4">
        <v>0</v>
      </c>
    </row>
    <row r="475" spans="1:9" x14ac:dyDescent="0.15">
      <c r="A475" s="2">
        <v>5</v>
      </c>
      <c r="B475" s="1" t="s">
        <v>134</v>
      </c>
      <c r="C475" s="4">
        <v>28</v>
      </c>
      <c r="D475" s="8">
        <v>2.7</v>
      </c>
      <c r="E475" s="4">
        <v>23</v>
      </c>
      <c r="F475" s="8">
        <v>3.54</v>
      </c>
      <c r="G475" s="4">
        <v>5</v>
      </c>
      <c r="H475" s="8">
        <v>1.3</v>
      </c>
      <c r="I475" s="4">
        <v>0</v>
      </c>
    </row>
    <row r="476" spans="1:9" x14ac:dyDescent="0.15">
      <c r="A476" s="2">
        <v>7</v>
      </c>
      <c r="B476" s="1" t="s">
        <v>135</v>
      </c>
      <c r="C476" s="4">
        <v>24</v>
      </c>
      <c r="D476" s="8">
        <v>2.3199999999999998</v>
      </c>
      <c r="E476" s="4">
        <v>20</v>
      </c>
      <c r="F476" s="8">
        <v>3.08</v>
      </c>
      <c r="G476" s="4">
        <v>4</v>
      </c>
      <c r="H476" s="8">
        <v>1.04</v>
      </c>
      <c r="I476" s="4">
        <v>0</v>
      </c>
    </row>
    <row r="477" spans="1:9" x14ac:dyDescent="0.15">
      <c r="A477" s="2">
        <v>8</v>
      </c>
      <c r="B477" s="1" t="s">
        <v>130</v>
      </c>
      <c r="C477" s="4">
        <v>23</v>
      </c>
      <c r="D477" s="8">
        <v>2.2200000000000002</v>
      </c>
      <c r="E477" s="4">
        <v>16</v>
      </c>
      <c r="F477" s="8">
        <v>2.46</v>
      </c>
      <c r="G477" s="4">
        <v>7</v>
      </c>
      <c r="H477" s="8">
        <v>1.82</v>
      </c>
      <c r="I477" s="4">
        <v>0</v>
      </c>
    </row>
    <row r="478" spans="1:9" x14ac:dyDescent="0.15">
      <c r="A478" s="2">
        <v>8</v>
      </c>
      <c r="B478" s="1" t="s">
        <v>144</v>
      </c>
      <c r="C478" s="4">
        <v>23</v>
      </c>
      <c r="D478" s="8">
        <v>2.2200000000000002</v>
      </c>
      <c r="E478" s="4">
        <v>21</v>
      </c>
      <c r="F478" s="8">
        <v>3.23</v>
      </c>
      <c r="G478" s="4">
        <v>2</v>
      </c>
      <c r="H478" s="8">
        <v>0.52</v>
      </c>
      <c r="I478" s="4">
        <v>0</v>
      </c>
    </row>
    <row r="479" spans="1:9" x14ac:dyDescent="0.15">
      <c r="A479" s="2">
        <v>10</v>
      </c>
      <c r="B479" s="1" t="s">
        <v>143</v>
      </c>
      <c r="C479" s="4">
        <v>21</v>
      </c>
      <c r="D479" s="8">
        <v>2.0299999999999998</v>
      </c>
      <c r="E479" s="4">
        <v>16</v>
      </c>
      <c r="F479" s="8">
        <v>2.46</v>
      </c>
      <c r="G479" s="4">
        <v>5</v>
      </c>
      <c r="H479" s="8">
        <v>1.3</v>
      </c>
      <c r="I479" s="4">
        <v>0</v>
      </c>
    </row>
    <row r="480" spans="1:9" x14ac:dyDescent="0.15">
      <c r="A480" s="2">
        <v>11</v>
      </c>
      <c r="B480" s="1" t="s">
        <v>128</v>
      </c>
      <c r="C480" s="4">
        <v>20</v>
      </c>
      <c r="D480" s="8">
        <v>1.93</v>
      </c>
      <c r="E480" s="4">
        <v>11</v>
      </c>
      <c r="F480" s="8">
        <v>1.69</v>
      </c>
      <c r="G480" s="4">
        <v>9</v>
      </c>
      <c r="H480" s="8">
        <v>2.34</v>
      </c>
      <c r="I480" s="4">
        <v>0</v>
      </c>
    </row>
    <row r="481" spans="1:9" x14ac:dyDescent="0.15">
      <c r="A481" s="2">
        <v>11</v>
      </c>
      <c r="B481" s="1" t="s">
        <v>131</v>
      </c>
      <c r="C481" s="4">
        <v>20</v>
      </c>
      <c r="D481" s="8">
        <v>1.93</v>
      </c>
      <c r="E481" s="4">
        <v>11</v>
      </c>
      <c r="F481" s="8">
        <v>1.69</v>
      </c>
      <c r="G481" s="4">
        <v>9</v>
      </c>
      <c r="H481" s="8">
        <v>2.34</v>
      </c>
      <c r="I481" s="4">
        <v>0</v>
      </c>
    </row>
    <row r="482" spans="1:9" x14ac:dyDescent="0.15">
      <c r="A482" s="2">
        <v>13</v>
      </c>
      <c r="B482" s="1" t="s">
        <v>127</v>
      </c>
      <c r="C482" s="4">
        <v>19</v>
      </c>
      <c r="D482" s="8">
        <v>1.83</v>
      </c>
      <c r="E482" s="4">
        <v>10</v>
      </c>
      <c r="F482" s="8">
        <v>1.54</v>
      </c>
      <c r="G482" s="4">
        <v>9</v>
      </c>
      <c r="H482" s="8">
        <v>2.34</v>
      </c>
      <c r="I482" s="4">
        <v>0</v>
      </c>
    </row>
    <row r="483" spans="1:9" x14ac:dyDescent="0.15">
      <c r="A483" s="2">
        <v>13</v>
      </c>
      <c r="B483" s="1" t="s">
        <v>151</v>
      </c>
      <c r="C483" s="4">
        <v>19</v>
      </c>
      <c r="D483" s="8">
        <v>1.83</v>
      </c>
      <c r="E483" s="4">
        <v>18</v>
      </c>
      <c r="F483" s="8">
        <v>2.77</v>
      </c>
      <c r="G483" s="4">
        <v>1</v>
      </c>
      <c r="H483" s="8">
        <v>0.26</v>
      </c>
      <c r="I483" s="4">
        <v>0</v>
      </c>
    </row>
    <row r="484" spans="1:9" x14ac:dyDescent="0.15">
      <c r="A484" s="2">
        <v>15</v>
      </c>
      <c r="B484" s="1" t="s">
        <v>172</v>
      </c>
      <c r="C484" s="4">
        <v>18</v>
      </c>
      <c r="D484" s="8">
        <v>1.74</v>
      </c>
      <c r="E484" s="4">
        <v>3</v>
      </c>
      <c r="F484" s="8">
        <v>0.46</v>
      </c>
      <c r="G484" s="4">
        <v>15</v>
      </c>
      <c r="H484" s="8">
        <v>3.91</v>
      </c>
      <c r="I484" s="4">
        <v>0</v>
      </c>
    </row>
    <row r="485" spans="1:9" x14ac:dyDescent="0.15">
      <c r="A485" s="2">
        <v>16</v>
      </c>
      <c r="B485" s="1" t="s">
        <v>167</v>
      </c>
      <c r="C485" s="4">
        <v>17</v>
      </c>
      <c r="D485" s="8">
        <v>1.64</v>
      </c>
      <c r="E485" s="4">
        <v>5</v>
      </c>
      <c r="F485" s="8">
        <v>0.77</v>
      </c>
      <c r="G485" s="4">
        <v>12</v>
      </c>
      <c r="H485" s="8">
        <v>3.13</v>
      </c>
      <c r="I485" s="4">
        <v>0</v>
      </c>
    </row>
    <row r="486" spans="1:9" x14ac:dyDescent="0.15">
      <c r="A486" s="2">
        <v>16</v>
      </c>
      <c r="B486" s="1" t="s">
        <v>155</v>
      </c>
      <c r="C486" s="4">
        <v>17</v>
      </c>
      <c r="D486" s="8">
        <v>1.64</v>
      </c>
      <c r="E486" s="4">
        <v>15</v>
      </c>
      <c r="F486" s="8">
        <v>2.31</v>
      </c>
      <c r="G486" s="4">
        <v>2</v>
      </c>
      <c r="H486" s="8">
        <v>0.52</v>
      </c>
      <c r="I486" s="4">
        <v>0</v>
      </c>
    </row>
    <row r="487" spans="1:9" x14ac:dyDescent="0.15">
      <c r="A487" s="2">
        <v>18</v>
      </c>
      <c r="B487" s="1" t="s">
        <v>129</v>
      </c>
      <c r="C487" s="4">
        <v>16</v>
      </c>
      <c r="D487" s="8">
        <v>1.54</v>
      </c>
      <c r="E487" s="4">
        <v>15</v>
      </c>
      <c r="F487" s="8">
        <v>2.31</v>
      </c>
      <c r="G487" s="4">
        <v>1</v>
      </c>
      <c r="H487" s="8">
        <v>0.26</v>
      </c>
      <c r="I487" s="4">
        <v>0</v>
      </c>
    </row>
    <row r="488" spans="1:9" x14ac:dyDescent="0.15">
      <c r="A488" s="2">
        <v>18</v>
      </c>
      <c r="B488" s="1" t="s">
        <v>148</v>
      </c>
      <c r="C488" s="4">
        <v>16</v>
      </c>
      <c r="D488" s="8">
        <v>1.54</v>
      </c>
      <c r="E488" s="4">
        <v>16</v>
      </c>
      <c r="F488" s="8">
        <v>2.46</v>
      </c>
      <c r="G488" s="4">
        <v>0</v>
      </c>
      <c r="H488" s="8">
        <v>0</v>
      </c>
      <c r="I488" s="4">
        <v>0</v>
      </c>
    </row>
    <row r="489" spans="1:9" x14ac:dyDescent="0.15">
      <c r="A489" s="2">
        <v>18</v>
      </c>
      <c r="B489" s="1" t="s">
        <v>137</v>
      </c>
      <c r="C489" s="4">
        <v>16</v>
      </c>
      <c r="D489" s="8">
        <v>1.54</v>
      </c>
      <c r="E489" s="4">
        <v>16</v>
      </c>
      <c r="F489" s="8">
        <v>2.46</v>
      </c>
      <c r="G489" s="4">
        <v>0</v>
      </c>
      <c r="H489" s="8">
        <v>0</v>
      </c>
      <c r="I489" s="4">
        <v>0</v>
      </c>
    </row>
    <row r="490" spans="1:9" x14ac:dyDescent="0.15">
      <c r="A490" s="2">
        <v>18</v>
      </c>
      <c r="B490" s="1" t="s">
        <v>142</v>
      </c>
      <c r="C490" s="4">
        <v>16</v>
      </c>
      <c r="D490" s="8">
        <v>1.54</v>
      </c>
      <c r="E490" s="4">
        <v>15</v>
      </c>
      <c r="F490" s="8">
        <v>2.31</v>
      </c>
      <c r="G490" s="4">
        <v>1</v>
      </c>
      <c r="H490" s="8">
        <v>0.26</v>
      </c>
      <c r="I490" s="4">
        <v>0</v>
      </c>
    </row>
    <row r="491" spans="1:9" x14ac:dyDescent="0.15">
      <c r="A491" s="1"/>
      <c r="C491" s="4"/>
      <c r="D491" s="8"/>
      <c r="E491" s="4"/>
      <c r="F491" s="8"/>
      <c r="G491" s="4"/>
      <c r="H491" s="8"/>
      <c r="I491" s="4"/>
    </row>
    <row r="492" spans="1:9" x14ac:dyDescent="0.15">
      <c r="A492" s="1" t="s">
        <v>22</v>
      </c>
      <c r="C492" s="4"/>
      <c r="D492" s="8"/>
      <c r="E492" s="4"/>
      <c r="F492" s="8"/>
      <c r="G492" s="4"/>
      <c r="H492" s="8"/>
      <c r="I492" s="4"/>
    </row>
    <row r="493" spans="1:9" x14ac:dyDescent="0.15">
      <c r="A493" s="2">
        <v>1</v>
      </c>
      <c r="B493" s="1" t="s">
        <v>173</v>
      </c>
      <c r="C493" s="4">
        <v>84</v>
      </c>
      <c r="D493" s="8">
        <v>5.6</v>
      </c>
      <c r="E493" s="4">
        <v>43</v>
      </c>
      <c r="F493" s="8">
        <v>4.41</v>
      </c>
      <c r="G493" s="4">
        <v>41</v>
      </c>
      <c r="H493" s="8">
        <v>7.92</v>
      </c>
      <c r="I493" s="4">
        <v>0</v>
      </c>
    </row>
    <row r="494" spans="1:9" x14ac:dyDescent="0.15">
      <c r="A494" s="2">
        <v>2</v>
      </c>
      <c r="B494" s="1" t="s">
        <v>141</v>
      </c>
      <c r="C494" s="4">
        <v>63</v>
      </c>
      <c r="D494" s="8">
        <v>4.2</v>
      </c>
      <c r="E494" s="4">
        <v>55</v>
      </c>
      <c r="F494" s="8">
        <v>5.64</v>
      </c>
      <c r="G494" s="4">
        <v>8</v>
      </c>
      <c r="H494" s="8">
        <v>1.54</v>
      </c>
      <c r="I494" s="4">
        <v>0</v>
      </c>
    </row>
    <row r="495" spans="1:9" x14ac:dyDescent="0.15">
      <c r="A495" s="2">
        <v>3</v>
      </c>
      <c r="B495" s="1" t="s">
        <v>140</v>
      </c>
      <c r="C495" s="4">
        <v>54</v>
      </c>
      <c r="D495" s="8">
        <v>3.6</v>
      </c>
      <c r="E495" s="4">
        <v>54</v>
      </c>
      <c r="F495" s="8">
        <v>5.53</v>
      </c>
      <c r="G495" s="4">
        <v>0</v>
      </c>
      <c r="H495" s="8">
        <v>0</v>
      </c>
      <c r="I495" s="4">
        <v>0</v>
      </c>
    </row>
    <row r="496" spans="1:9" x14ac:dyDescent="0.15">
      <c r="A496" s="2">
        <v>4</v>
      </c>
      <c r="B496" s="1" t="s">
        <v>175</v>
      </c>
      <c r="C496" s="4">
        <v>41</v>
      </c>
      <c r="D496" s="8">
        <v>2.73</v>
      </c>
      <c r="E496" s="4">
        <v>24</v>
      </c>
      <c r="F496" s="8">
        <v>2.46</v>
      </c>
      <c r="G496" s="4">
        <v>17</v>
      </c>
      <c r="H496" s="8">
        <v>3.28</v>
      </c>
      <c r="I496" s="4">
        <v>0</v>
      </c>
    </row>
    <row r="497" spans="1:9" x14ac:dyDescent="0.15">
      <c r="A497" s="2">
        <v>5</v>
      </c>
      <c r="B497" s="1" t="s">
        <v>130</v>
      </c>
      <c r="C497" s="4">
        <v>39</v>
      </c>
      <c r="D497" s="8">
        <v>2.6</v>
      </c>
      <c r="E497" s="4">
        <v>26</v>
      </c>
      <c r="F497" s="8">
        <v>2.66</v>
      </c>
      <c r="G497" s="4">
        <v>13</v>
      </c>
      <c r="H497" s="8">
        <v>2.5099999999999998</v>
      </c>
      <c r="I497" s="4">
        <v>0</v>
      </c>
    </row>
    <row r="498" spans="1:9" x14ac:dyDescent="0.15">
      <c r="A498" s="2">
        <v>6</v>
      </c>
      <c r="B498" s="1" t="s">
        <v>132</v>
      </c>
      <c r="C498" s="4">
        <v>38</v>
      </c>
      <c r="D498" s="8">
        <v>2.5299999999999998</v>
      </c>
      <c r="E498" s="4">
        <v>31</v>
      </c>
      <c r="F498" s="8">
        <v>3.18</v>
      </c>
      <c r="G498" s="4">
        <v>7</v>
      </c>
      <c r="H498" s="8">
        <v>1.35</v>
      </c>
      <c r="I498" s="4">
        <v>0</v>
      </c>
    </row>
    <row r="499" spans="1:9" x14ac:dyDescent="0.15">
      <c r="A499" s="2">
        <v>7</v>
      </c>
      <c r="B499" s="1" t="s">
        <v>135</v>
      </c>
      <c r="C499" s="4">
        <v>36</v>
      </c>
      <c r="D499" s="8">
        <v>2.4</v>
      </c>
      <c r="E499" s="4">
        <v>33</v>
      </c>
      <c r="F499" s="8">
        <v>3.38</v>
      </c>
      <c r="G499" s="4">
        <v>3</v>
      </c>
      <c r="H499" s="8">
        <v>0.57999999999999996</v>
      </c>
      <c r="I499" s="4">
        <v>0</v>
      </c>
    </row>
    <row r="500" spans="1:9" x14ac:dyDescent="0.15">
      <c r="A500" s="2">
        <v>8</v>
      </c>
      <c r="B500" s="1" t="s">
        <v>125</v>
      </c>
      <c r="C500" s="4">
        <v>32</v>
      </c>
      <c r="D500" s="8">
        <v>2.13</v>
      </c>
      <c r="E500" s="4">
        <v>10</v>
      </c>
      <c r="F500" s="8">
        <v>1.02</v>
      </c>
      <c r="G500" s="4">
        <v>22</v>
      </c>
      <c r="H500" s="8">
        <v>4.25</v>
      </c>
      <c r="I500" s="4">
        <v>0</v>
      </c>
    </row>
    <row r="501" spans="1:9" x14ac:dyDescent="0.15">
      <c r="A501" s="2">
        <v>9</v>
      </c>
      <c r="B501" s="1" t="s">
        <v>174</v>
      </c>
      <c r="C501" s="4">
        <v>31</v>
      </c>
      <c r="D501" s="8">
        <v>2.0699999999999998</v>
      </c>
      <c r="E501" s="4">
        <v>29</v>
      </c>
      <c r="F501" s="8">
        <v>2.97</v>
      </c>
      <c r="G501" s="4">
        <v>2</v>
      </c>
      <c r="H501" s="8">
        <v>0.39</v>
      </c>
      <c r="I501" s="4">
        <v>0</v>
      </c>
    </row>
    <row r="502" spans="1:9" x14ac:dyDescent="0.15">
      <c r="A502" s="2">
        <v>10</v>
      </c>
      <c r="B502" s="1" t="s">
        <v>127</v>
      </c>
      <c r="C502" s="4">
        <v>30</v>
      </c>
      <c r="D502" s="8">
        <v>2</v>
      </c>
      <c r="E502" s="4">
        <v>22</v>
      </c>
      <c r="F502" s="8">
        <v>2.25</v>
      </c>
      <c r="G502" s="4">
        <v>8</v>
      </c>
      <c r="H502" s="8">
        <v>1.54</v>
      </c>
      <c r="I502" s="4">
        <v>0</v>
      </c>
    </row>
    <row r="503" spans="1:9" x14ac:dyDescent="0.15">
      <c r="A503" s="2">
        <v>11</v>
      </c>
      <c r="B503" s="1" t="s">
        <v>136</v>
      </c>
      <c r="C503" s="4">
        <v>26</v>
      </c>
      <c r="D503" s="8">
        <v>1.73</v>
      </c>
      <c r="E503" s="4">
        <v>24</v>
      </c>
      <c r="F503" s="8">
        <v>2.46</v>
      </c>
      <c r="G503" s="4">
        <v>2</v>
      </c>
      <c r="H503" s="8">
        <v>0.39</v>
      </c>
      <c r="I503" s="4">
        <v>0</v>
      </c>
    </row>
    <row r="504" spans="1:9" x14ac:dyDescent="0.15">
      <c r="A504" s="2">
        <v>11</v>
      </c>
      <c r="B504" s="1" t="s">
        <v>138</v>
      </c>
      <c r="C504" s="4">
        <v>26</v>
      </c>
      <c r="D504" s="8">
        <v>1.73</v>
      </c>
      <c r="E504" s="4">
        <v>24</v>
      </c>
      <c r="F504" s="8">
        <v>2.46</v>
      </c>
      <c r="G504" s="4">
        <v>2</v>
      </c>
      <c r="H504" s="8">
        <v>0.39</v>
      </c>
      <c r="I504" s="4">
        <v>0</v>
      </c>
    </row>
    <row r="505" spans="1:9" x14ac:dyDescent="0.15">
      <c r="A505" s="2">
        <v>13</v>
      </c>
      <c r="B505" s="1" t="s">
        <v>176</v>
      </c>
      <c r="C505" s="4">
        <v>25</v>
      </c>
      <c r="D505" s="8">
        <v>1.67</v>
      </c>
      <c r="E505" s="4">
        <v>18</v>
      </c>
      <c r="F505" s="8">
        <v>1.84</v>
      </c>
      <c r="G505" s="4">
        <v>7</v>
      </c>
      <c r="H505" s="8">
        <v>1.35</v>
      </c>
      <c r="I505" s="4">
        <v>0</v>
      </c>
    </row>
    <row r="506" spans="1:9" x14ac:dyDescent="0.15">
      <c r="A506" s="2">
        <v>13</v>
      </c>
      <c r="B506" s="1" t="s">
        <v>159</v>
      </c>
      <c r="C506" s="4">
        <v>25</v>
      </c>
      <c r="D506" s="8">
        <v>1.67</v>
      </c>
      <c r="E506" s="4">
        <v>15</v>
      </c>
      <c r="F506" s="8">
        <v>1.54</v>
      </c>
      <c r="G506" s="4">
        <v>10</v>
      </c>
      <c r="H506" s="8">
        <v>1.93</v>
      </c>
      <c r="I506" s="4">
        <v>0</v>
      </c>
    </row>
    <row r="507" spans="1:9" x14ac:dyDescent="0.15">
      <c r="A507" s="2">
        <v>15</v>
      </c>
      <c r="B507" s="1" t="s">
        <v>131</v>
      </c>
      <c r="C507" s="4">
        <v>24</v>
      </c>
      <c r="D507" s="8">
        <v>1.6</v>
      </c>
      <c r="E507" s="4">
        <v>12</v>
      </c>
      <c r="F507" s="8">
        <v>1.23</v>
      </c>
      <c r="G507" s="4">
        <v>12</v>
      </c>
      <c r="H507" s="8">
        <v>2.3199999999999998</v>
      </c>
      <c r="I507" s="4">
        <v>0</v>
      </c>
    </row>
    <row r="508" spans="1:9" x14ac:dyDescent="0.15">
      <c r="A508" s="2">
        <v>16</v>
      </c>
      <c r="B508" s="1" t="s">
        <v>137</v>
      </c>
      <c r="C508" s="4">
        <v>22</v>
      </c>
      <c r="D508" s="8">
        <v>1.47</v>
      </c>
      <c r="E508" s="4">
        <v>22</v>
      </c>
      <c r="F508" s="8">
        <v>2.25</v>
      </c>
      <c r="G508" s="4">
        <v>0</v>
      </c>
      <c r="H508" s="8">
        <v>0</v>
      </c>
      <c r="I508" s="4">
        <v>0</v>
      </c>
    </row>
    <row r="509" spans="1:9" x14ac:dyDescent="0.15">
      <c r="A509" s="2">
        <v>17</v>
      </c>
      <c r="B509" s="1" t="s">
        <v>126</v>
      </c>
      <c r="C509" s="4">
        <v>21</v>
      </c>
      <c r="D509" s="8">
        <v>1.4</v>
      </c>
      <c r="E509" s="4">
        <v>9</v>
      </c>
      <c r="F509" s="8">
        <v>0.92</v>
      </c>
      <c r="G509" s="4">
        <v>12</v>
      </c>
      <c r="H509" s="8">
        <v>2.3199999999999998</v>
      </c>
      <c r="I509" s="4">
        <v>0</v>
      </c>
    </row>
    <row r="510" spans="1:9" x14ac:dyDescent="0.15">
      <c r="A510" s="2">
        <v>17</v>
      </c>
      <c r="B510" s="1" t="s">
        <v>142</v>
      </c>
      <c r="C510" s="4">
        <v>21</v>
      </c>
      <c r="D510" s="8">
        <v>1.4</v>
      </c>
      <c r="E510" s="4">
        <v>18</v>
      </c>
      <c r="F510" s="8">
        <v>1.84</v>
      </c>
      <c r="G510" s="4">
        <v>3</v>
      </c>
      <c r="H510" s="8">
        <v>0.57999999999999996</v>
      </c>
      <c r="I510" s="4">
        <v>0</v>
      </c>
    </row>
    <row r="511" spans="1:9" x14ac:dyDescent="0.15">
      <c r="A511" s="2">
        <v>17</v>
      </c>
      <c r="B511" s="1" t="s">
        <v>166</v>
      </c>
      <c r="C511" s="4">
        <v>21</v>
      </c>
      <c r="D511" s="8">
        <v>1.4</v>
      </c>
      <c r="E511" s="4">
        <v>14</v>
      </c>
      <c r="F511" s="8">
        <v>1.43</v>
      </c>
      <c r="G511" s="4">
        <v>7</v>
      </c>
      <c r="H511" s="8">
        <v>1.35</v>
      </c>
      <c r="I511" s="4">
        <v>0</v>
      </c>
    </row>
    <row r="512" spans="1:9" x14ac:dyDescent="0.15">
      <c r="A512" s="2">
        <v>20</v>
      </c>
      <c r="B512" s="1" t="s">
        <v>134</v>
      </c>
      <c r="C512" s="4">
        <v>20</v>
      </c>
      <c r="D512" s="8">
        <v>1.33</v>
      </c>
      <c r="E512" s="4">
        <v>11</v>
      </c>
      <c r="F512" s="8">
        <v>1.1299999999999999</v>
      </c>
      <c r="G512" s="4">
        <v>9</v>
      </c>
      <c r="H512" s="8">
        <v>1.74</v>
      </c>
      <c r="I512" s="4">
        <v>0</v>
      </c>
    </row>
    <row r="513" spans="1:9" x14ac:dyDescent="0.15">
      <c r="A513" s="2">
        <v>20</v>
      </c>
      <c r="B513" s="1" t="s">
        <v>143</v>
      </c>
      <c r="C513" s="4">
        <v>20</v>
      </c>
      <c r="D513" s="8">
        <v>1.33</v>
      </c>
      <c r="E513" s="4">
        <v>16</v>
      </c>
      <c r="F513" s="8">
        <v>1.64</v>
      </c>
      <c r="G513" s="4">
        <v>4</v>
      </c>
      <c r="H513" s="8">
        <v>0.77</v>
      </c>
      <c r="I513" s="4">
        <v>0</v>
      </c>
    </row>
    <row r="514" spans="1:9" x14ac:dyDescent="0.15">
      <c r="A514" s="1"/>
      <c r="C514" s="4"/>
      <c r="D514" s="8"/>
      <c r="E514" s="4"/>
      <c r="F514" s="8"/>
      <c r="G514" s="4"/>
      <c r="H514" s="8"/>
      <c r="I514" s="4"/>
    </row>
    <row r="515" spans="1:9" x14ac:dyDescent="0.15">
      <c r="A515" s="1" t="s">
        <v>23</v>
      </c>
      <c r="C515" s="4"/>
      <c r="D515" s="8"/>
      <c r="E515" s="4"/>
      <c r="F515" s="8"/>
      <c r="G515" s="4"/>
      <c r="H515" s="8"/>
      <c r="I515" s="4"/>
    </row>
    <row r="516" spans="1:9" x14ac:dyDescent="0.15">
      <c r="A516" s="2">
        <v>1</v>
      </c>
      <c r="B516" s="1" t="s">
        <v>141</v>
      </c>
      <c r="C516" s="4">
        <v>168</v>
      </c>
      <c r="D516" s="8">
        <v>5.54</v>
      </c>
      <c r="E516" s="4">
        <v>148</v>
      </c>
      <c r="F516" s="8">
        <v>9.35</v>
      </c>
      <c r="G516" s="4">
        <v>20</v>
      </c>
      <c r="H516" s="8">
        <v>1.39</v>
      </c>
      <c r="I516" s="4">
        <v>0</v>
      </c>
    </row>
    <row r="517" spans="1:9" x14ac:dyDescent="0.15">
      <c r="A517" s="2">
        <v>2</v>
      </c>
      <c r="B517" s="1" t="s">
        <v>134</v>
      </c>
      <c r="C517" s="4">
        <v>159</v>
      </c>
      <c r="D517" s="8">
        <v>5.25</v>
      </c>
      <c r="E517" s="4">
        <v>72</v>
      </c>
      <c r="F517" s="8">
        <v>4.55</v>
      </c>
      <c r="G517" s="4">
        <v>87</v>
      </c>
      <c r="H517" s="8">
        <v>6.04</v>
      </c>
      <c r="I517" s="4">
        <v>0</v>
      </c>
    </row>
    <row r="518" spans="1:9" x14ac:dyDescent="0.15">
      <c r="A518" s="2">
        <v>3</v>
      </c>
      <c r="B518" s="1" t="s">
        <v>138</v>
      </c>
      <c r="C518" s="4">
        <v>106</v>
      </c>
      <c r="D518" s="8">
        <v>3.5</v>
      </c>
      <c r="E518" s="4">
        <v>95</v>
      </c>
      <c r="F518" s="8">
        <v>6</v>
      </c>
      <c r="G518" s="4">
        <v>11</v>
      </c>
      <c r="H518" s="8">
        <v>0.76</v>
      </c>
      <c r="I518" s="4">
        <v>0</v>
      </c>
    </row>
    <row r="519" spans="1:9" x14ac:dyDescent="0.15">
      <c r="A519" s="2">
        <v>4</v>
      </c>
      <c r="B519" s="1" t="s">
        <v>149</v>
      </c>
      <c r="C519" s="4">
        <v>100</v>
      </c>
      <c r="D519" s="8">
        <v>3.3</v>
      </c>
      <c r="E519" s="4">
        <v>3</v>
      </c>
      <c r="F519" s="8">
        <v>0.19</v>
      </c>
      <c r="G519" s="4">
        <v>96</v>
      </c>
      <c r="H519" s="8">
        <v>6.67</v>
      </c>
      <c r="I519" s="4">
        <v>1</v>
      </c>
    </row>
    <row r="520" spans="1:9" x14ac:dyDescent="0.15">
      <c r="A520" s="2">
        <v>5</v>
      </c>
      <c r="B520" s="1" t="s">
        <v>132</v>
      </c>
      <c r="C520" s="4">
        <v>99</v>
      </c>
      <c r="D520" s="8">
        <v>3.27</v>
      </c>
      <c r="E520" s="4">
        <v>74</v>
      </c>
      <c r="F520" s="8">
        <v>4.67</v>
      </c>
      <c r="G520" s="4">
        <v>25</v>
      </c>
      <c r="H520" s="8">
        <v>1.74</v>
      </c>
      <c r="I520" s="4">
        <v>0</v>
      </c>
    </row>
    <row r="521" spans="1:9" x14ac:dyDescent="0.15">
      <c r="A521" s="2">
        <v>6</v>
      </c>
      <c r="B521" s="1" t="s">
        <v>125</v>
      </c>
      <c r="C521" s="4">
        <v>97</v>
      </c>
      <c r="D521" s="8">
        <v>3.2</v>
      </c>
      <c r="E521" s="4">
        <v>27</v>
      </c>
      <c r="F521" s="8">
        <v>1.71</v>
      </c>
      <c r="G521" s="4">
        <v>70</v>
      </c>
      <c r="H521" s="8">
        <v>4.8600000000000003</v>
      </c>
      <c r="I521" s="4">
        <v>0</v>
      </c>
    </row>
    <row r="522" spans="1:9" x14ac:dyDescent="0.15">
      <c r="A522" s="2">
        <v>6</v>
      </c>
      <c r="B522" s="1" t="s">
        <v>144</v>
      </c>
      <c r="C522" s="4">
        <v>97</v>
      </c>
      <c r="D522" s="8">
        <v>3.2</v>
      </c>
      <c r="E522" s="4">
        <v>89</v>
      </c>
      <c r="F522" s="8">
        <v>5.62</v>
      </c>
      <c r="G522" s="4">
        <v>8</v>
      </c>
      <c r="H522" s="8">
        <v>0.56000000000000005</v>
      </c>
      <c r="I522" s="4">
        <v>0</v>
      </c>
    </row>
    <row r="523" spans="1:9" x14ac:dyDescent="0.15">
      <c r="A523" s="2">
        <v>8</v>
      </c>
      <c r="B523" s="1" t="s">
        <v>143</v>
      </c>
      <c r="C523" s="4">
        <v>93</v>
      </c>
      <c r="D523" s="8">
        <v>3.07</v>
      </c>
      <c r="E523" s="4">
        <v>73</v>
      </c>
      <c r="F523" s="8">
        <v>4.6100000000000003</v>
      </c>
      <c r="G523" s="4">
        <v>20</v>
      </c>
      <c r="H523" s="8">
        <v>1.39</v>
      </c>
      <c r="I523" s="4">
        <v>0</v>
      </c>
    </row>
    <row r="524" spans="1:9" x14ac:dyDescent="0.15">
      <c r="A524" s="2">
        <v>9</v>
      </c>
      <c r="B524" s="1" t="s">
        <v>135</v>
      </c>
      <c r="C524" s="4">
        <v>85</v>
      </c>
      <c r="D524" s="8">
        <v>2.81</v>
      </c>
      <c r="E524" s="4">
        <v>74</v>
      </c>
      <c r="F524" s="8">
        <v>4.67</v>
      </c>
      <c r="G524" s="4">
        <v>11</v>
      </c>
      <c r="H524" s="8">
        <v>0.76</v>
      </c>
      <c r="I524" s="4">
        <v>0</v>
      </c>
    </row>
    <row r="525" spans="1:9" x14ac:dyDescent="0.15">
      <c r="A525" s="2">
        <v>10</v>
      </c>
      <c r="B525" s="1" t="s">
        <v>128</v>
      </c>
      <c r="C525" s="4">
        <v>68</v>
      </c>
      <c r="D525" s="8">
        <v>2.2400000000000002</v>
      </c>
      <c r="E525" s="4">
        <v>43</v>
      </c>
      <c r="F525" s="8">
        <v>2.72</v>
      </c>
      <c r="G525" s="4">
        <v>25</v>
      </c>
      <c r="H525" s="8">
        <v>1.74</v>
      </c>
      <c r="I525" s="4">
        <v>0</v>
      </c>
    </row>
    <row r="526" spans="1:9" x14ac:dyDescent="0.15">
      <c r="A526" s="2">
        <v>11</v>
      </c>
      <c r="B526" s="1" t="s">
        <v>140</v>
      </c>
      <c r="C526" s="4">
        <v>65</v>
      </c>
      <c r="D526" s="8">
        <v>2.15</v>
      </c>
      <c r="E526" s="4">
        <v>58</v>
      </c>
      <c r="F526" s="8">
        <v>3.66</v>
      </c>
      <c r="G526" s="4">
        <v>7</v>
      </c>
      <c r="H526" s="8">
        <v>0.49</v>
      </c>
      <c r="I526" s="4">
        <v>0</v>
      </c>
    </row>
    <row r="527" spans="1:9" x14ac:dyDescent="0.15">
      <c r="A527" s="2">
        <v>12</v>
      </c>
      <c r="B527" s="1" t="s">
        <v>142</v>
      </c>
      <c r="C527" s="4">
        <v>64</v>
      </c>
      <c r="D527" s="8">
        <v>2.11</v>
      </c>
      <c r="E527" s="4">
        <v>40</v>
      </c>
      <c r="F527" s="8">
        <v>2.5299999999999998</v>
      </c>
      <c r="G527" s="4">
        <v>24</v>
      </c>
      <c r="H527" s="8">
        <v>1.67</v>
      </c>
      <c r="I527" s="4">
        <v>0</v>
      </c>
    </row>
    <row r="528" spans="1:9" x14ac:dyDescent="0.15">
      <c r="A528" s="2">
        <v>13</v>
      </c>
      <c r="B528" s="1" t="s">
        <v>129</v>
      </c>
      <c r="C528" s="4">
        <v>60</v>
      </c>
      <c r="D528" s="8">
        <v>1.98</v>
      </c>
      <c r="E528" s="4">
        <v>38</v>
      </c>
      <c r="F528" s="8">
        <v>2.4</v>
      </c>
      <c r="G528" s="4">
        <v>22</v>
      </c>
      <c r="H528" s="8">
        <v>1.53</v>
      </c>
      <c r="I528" s="4">
        <v>0</v>
      </c>
    </row>
    <row r="529" spans="1:9" x14ac:dyDescent="0.15">
      <c r="A529" s="2">
        <v>14</v>
      </c>
      <c r="B529" s="1" t="s">
        <v>136</v>
      </c>
      <c r="C529" s="4">
        <v>55</v>
      </c>
      <c r="D529" s="8">
        <v>1.82</v>
      </c>
      <c r="E529" s="4">
        <v>52</v>
      </c>
      <c r="F529" s="8">
        <v>3.28</v>
      </c>
      <c r="G529" s="4">
        <v>3</v>
      </c>
      <c r="H529" s="8">
        <v>0.21</v>
      </c>
      <c r="I529" s="4">
        <v>0</v>
      </c>
    </row>
    <row r="530" spans="1:9" x14ac:dyDescent="0.15">
      <c r="A530" s="2">
        <v>15</v>
      </c>
      <c r="B530" s="1" t="s">
        <v>133</v>
      </c>
      <c r="C530" s="4">
        <v>51</v>
      </c>
      <c r="D530" s="8">
        <v>1.68</v>
      </c>
      <c r="E530" s="4">
        <v>14</v>
      </c>
      <c r="F530" s="8">
        <v>0.88</v>
      </c>
      <c r="G530" s="4">
        <v>37</v>
      </c>
      <c r="H530" s="8">
        <v>2.57</v>
      </c>
      <c r="I530" s="4">
        <v>0</v>
      </c>
    </row>
    <row r="531" spans="1:9" x14ac:dyDescent="0.15">
      <c r="A531" s="2">
        <v>16</v>
      </c>
      <c r="B531" s="1" t="s">
        <v>139</v>
      </c>
      <c r="C531" s="4">
        <v>49</v>
      </c>
      <c r="D531" s="8">
        <v>1.62</v>
      </c>
      <c r="E531" s="4">
        <v>22</v>
      </c>
      <c r="F531" s="8">
        <v>1.39</v>
      </c>
      <c r="G531" s="4">
        <v>27</v>
      </c>
      <c r="H531" s="8">
        <v>1.88</v>
      </c>
      <c r="I531" s="4">
        <v>0</v>
      </c>
    </row>
    <row r="532" spans="1:9" x14ac:dyDescent="0.15">
      <c r="A532" s="2">
        <v>17</v>
      </c>
      <c r="B532" s="1" t="s">
        <v>147</v>
      </c>
      <c r="C532" s="4">
        <v>47</v>
      </c>
      <c r="D532" s="8">
        <v>1.55</v>
      </c>
      <c r="E532" s="4">
        <v>5</v>
      </c>
      <c r="F532" s="8">
        <v>0.32</v>
      </c>
      <c r="G532" s="4">
        <v>42</v>
      </c>
      <c r="H532" s="8">
        <v>2.92</v>
      </c>
      <c r="I532" s="4">
        <v>0</v>
      </c>
    </row>
    <row r="533" spans="1:9" x14ac:dyDescent="0.15">
      <c r="A533" s="2">
        <v>18</v>
      </c>
      <c r="B533" s="1" t="s">
        <v>130</v>
      </c>
      <c r="C533" s="4">
        <v>46</v>
      </c>
      <c r="D533" s="8">
        <v>1.52</v>
      </c>
      <c r="E533" s="4">
        <v>30</v>
      </c>
      <c r="F533" s="8">
        <v>1.9</v>
      </c>
      <c r="G533" s="4">
        <v>16</v>
      </c>
      <c r="H533" s="8">
        <v>1.1100000000000001</v>
      </c>
      <c r="I533" s="4">
        <v>0</v>
      </c>
    </row>
    <row r="534" spans="1:9" x14ac:dyDescent="0.15">
      <c r="A534" s="2">
        <v>19</v>
      </c>
      <c r="B534" s="1" t="s">
        <v>131</v>
      </c>
      <c r="C534" s="4">
        <v>42</v>
      </c>
      <c r="D534" s="8">
        <v>1.39</v>
      </c>
      <c r="E534" s="4">
        <v>15</v>
      </c>
      <c r="F534" s="8">
        <v>0.95</v>
      </c>
      <c r="G534" s="4">
        <v>27</v>
      </c>
      <c r="H534" s="8">
        <v>1.88</v>
      </c>
      <c r="I534" s="4">
        <v>0</v>
      </c>
    </row>
    <row r="535" spans="1:9" x14ac:dyDescent="0.15">
      <c r="A535" s="2">
        <v>20</v>
      </c>
      <c r="B535" s="1" t="s">
        <v>153</v>
      </c>
      <c r="C535" s="4">
        <v>40</v>
      </c>
      <c r="D535" s="8">
        <v>1.32</v>
      </c>
      <c r="E535" s="4">
        <v>7</v>
      </c>
      <c r="F535" s="8">
        <v>0.44</v>
      </c>
      <c r="G535" s="4">
        <v>33</v>
      </c>
      <c r="H535" s="8">
        <v>2.29</v>
      </c>
      <c r="I535" s="4">
        <v>0</v>
      </c>
    </row>
    <row r="536" spans="1:9" x14ac:dyDescent="0.15">
      <c r="A536" s="2">
        <v>20</v>
      </c>
      <c r="B536" s="1" t="s">
        <v>146</v>
      </c>
      <c r="C536" s="4">
        <v>40</v>
      </c>
      <c r="D536" s="8">
        <v>1.32</v>
      </c>
      <c r="E536" s="4">
        <v>27</v>
      </c>
      <c r="F536" s="8">
        <v>1.71</v>
      </c>
      <c r="G536" s="4">
        <v>13</v>
      </c>
      <c r="H536" s="8">
        <v>0.9</v>
      </c>
      <c r="I536" s="4">
        <v>0</v>
      </c>
    </row>
    <row r="537" spans="1:9" x14ac:dyDescent="0.15">
      <c r="A537" s="1"/>
      <c r="C537" s="4"/>
      <c r="D537" s="8"/>
      <c r="E537" s="4"/>
      <c r="F537" s="8"/>
      <c r="G537" s="4"/>
      <c r="H537" s="8"/>
      <c r="I537" s="4"/>
    </row>
    <row r="538" spans="1:9" x14ac:dyDescent="0.15">
      <c r="A538" s="1" t="s">
        <v>24</v>
      </c>
      <c r="C538" s="4"/>
      <c r="D538" s="8"/>
      <c r="E538" s="4"/>
      <c r="F538" s="8"/>
      <c r="G538" s="4"/>
      <c r="H538" s="8"/>
      <c r="I538" s="4"/>
    </row>
    <row r="539" spans="1:9" x14ac:dyDescent="0.15">
      <c r="A539" s="2">
        <v>1</v>
      </c>
      <c r="B539" s="1" t="s">
        <v>177</v>
      </c>
      <c r="C539" s="4">
        <v>126</v>
      </c>
      <c r="D539" s="8">
        <v>6.61</v>
      </c>
      <c r="E539" s="4">
        <v>91</v>
      </c>
      <c r="F539" s="8">
        <v>7.5</v>
      </c>
      <c r="G539" s="4">
        <v>35</v>
      </c>
      <c r="H539" s="8">
        <v>5.09</v>
      </c>
      <c r="I539" s="4">
        <v>0</v>
      </c>
    </row>
    <row r="540" spans="1:9" x14ac:dyDescent="0.15">
      <c r="A540" s="2">
        <v>2</v>
      </c>
      <c r="B540" s="1" t="s">
        <v>141</v>
      </c>
      <c r="C540" s="4">
        <v>87</v>
      </c>
      <c r="D540" s="8">
        <v>4.57</v>
      </c>
      <c r="E540" s="4">
        <v>84</v>
      </c>
      <c r="F540" s="8">
        <v>6.92</v>
      </c>
      <c r="G540" s="4">
        <v>3</v>
      </c>
      <c r="H540" s="8">
        <v>0.44</v>
      </c>
      <c r="I540" s="4">
        <v>0</v>
      </c>
    </row>
    <row r="541" spans="1:9" x14ac:dyDescent="0.15">
      <c r="A541" s="2">
        <v>3</v>
      </c>
      <c r="B541" s="1" t="s">
        <v>162</v>
      </c>
      <c r="C541" s="4">
        <v>76</v>
      </c>
      <c r="D541" s="8">
        <v>3.99</v>
      </c>
      <c r="E541" s="4">
        <v>41</v>
      </c>
      <c r="F541" s="8">
        <v>3.38</v>
      </c>
      <c r="G541" s="4">
        <v>34</v>
      </c>
      <c r="H541" s="8">
        <v>4.9400000000000004</v>
      </c>
      <c r="I541" s="4">
        <v>1</v>
      </c>
    </row>
    <row r="542" spans="1:9" x14ac:dyDescent="0.15">
      <c r="A542" s="2">
        <v>4</v>
      </c>
      <c r="B542" s="1" t="s">
        <v>138</v>
      </c>
      <c r="C542" s="4">
        <v>68</v>
      </c>
      <c r="D542" s="8">
        <v>3.57</v>
      </c>
      <c r="E542" s="4">
        <v>65</v>
      </c>
      <c r="F542" s="8">
        <v>5.35</v>
      </c>
      <c r="G542" s="4">
        <v>3</v>
      </c>
      <c r="H542" s="8">
        <v>0.44</v>
      </c>
      <c r="I542" s="4">
        <v>0</v>
      </c>
    </row>
    <row r="543" spans="1:9" x14ac:dyDescent="0.15">
      <c r="A543" s="2">
        <v>5</v>
      </c>
      <c r="B543" s="1" t="s">
        <v>140</v>
      </c>
      <c r="C543" s="4">
        <v>60</v>
      </c>
      <c r="D543" s="8">
        <v>3.15</v>
      </c>
      <c r="E543" s="4">
        <v>59</v>
      </c>
      <c r="F543" s="8">
        <v>4.8600000000000003</v>
      </c>
      <c r="G543" s="4">
        <v>1</v>
      </c>
      <c r="H543" s="8">
        <v>0.15</v>
      </c>
      <c r="I543" s="4">
        <v>0</v>
      </c>
    </row>
    <row r="544" spans="1:9" x14ac:dyDescent="0.15">
      <c r="A544" s="2">
        <v>6</v>
      </c>
      <c r="B544" s="1" t="s">
        <v>125</v>
      </c>
      <c r="C544" s="4">
        <v>55</v>
      </c>
      <c r="D544" s="8">
        <v>2.89</v>
      </c>
      <c r="E544" s="4">
        <v>18</v>
      </c>
      <c r="F544" s="8">
        <v>1.48</v>
      </c>
      <c r="G544" s="4">
        <v>37</v>
      </c>
      <c r="H544" s="8">
        <v>5.38</v>
      </c>
      <c r="I544" s="4">
        <v>0</v>
      </c>
    </row>
    <row r="545" spans="1:9" x14ac:dyDescent="0.15">
      <c r="A545" s="2">
        <v>7</v>
      </c>
      <c r="B545" s="1" t="s">
        <v>143</v>
      </c>
      <c r="C545" s="4">
        <v>46</v>
      </c>
      <c r="D545" s="8">
        <v>2.41</v>
      </c>
      <c r="E545" s="4">
        <v>40</v>
      </c>
      <c r="F545" s="8">
        <v>3.29</v>
      </c>
      <c r="G545" s="4">
        <v>6</v>
      </c>
      <c r="H545" s="8">
        <v>0.87</v>
      </c>
      <c r="I545" s="4">
        <v>0</v>
      </c>
    </row>
    <row r="546" spans="1:9" x14ac:dyDescent="0.15">
      <c r="A546" s="2">
        <v>8</v>
      </c>
      <c r="B546" s="1" t="s">
        <v>130</v>
      </c>
      <c r="C546" s="4">
        <v>43</v>
      </c>
      <c r="D546" s="8">
        <v>2.2599999999999998</v>
      </c>
      <c r="E546" s="4">
        <v>26</v>
      </c>
      <c r="F546" s="8">
        <v>2.14</v>
      </c>
      <c r="G546" s="4">
        <v>17</v>
      </c>
      <c r="H546" s="8">
        <v>2.4700000000000002</v>
      </c>
      <c r="I546" s="4">
        <v>0</v>
      </c>
    </row>
    <row r="547" spans="1:9" x14ac:dyDescent="0.15">
      <c r="A547" s="2">
        <v>9</v>
      </c>
      <c r="B547" s="1" t="s">
        <v>132</v>
      </c>
      <c r="C547" s="4">
        <v>39</v>
      </c>
      <c r="D547" s="8">
        <v>2.0499999999999998</v>
      </c>
      <c r="E547" s="4">
        <v>25</v>
      </c>
      <c r="F547" s="8">
        <v>2.06</v>
      </c>
      <c r="G547" s="4">
        <v>14</v>
      </c>
      <c r="H547" s="8">
        <v>2.0299999999999998</v>
      </c>
      <c r="I547" s="4">
        <v>0</v>
      </c>
    </row>
    <row r="548" spans="1:9" x14ac:dyDescent="0.15">
      <c r="A548" s="2">
        <v>9</v>
      </c>
      <c r="B548" s="1" t="s">
        <v>135</v>
      </c>
      <c r="C548" s="4">
        <v>39</v>
      </c>
      <c r="D548" s="8">
        <v>2.0499999999999998</v>
      </c>
      <c r="E548" s="4">
        <v>35</v>
      </c>
      <c r="F548" s="8">
        <v>2.88</v>
      </c>
      <c r="G548" s="4">
        <v>4</v>
      </c>
      <c r="H548" s="8">
        <v>0.57999999999999996</v>
      </c>
      <c r="I548" s="4">
        <v>0</v>
      </c>
    </row>
    <row r="549" spans="1:9" x14ac:dyDescent="0.15">
      <c r="A549" s="2">
        <v>11</v>
      </c>
      <c r="B549" s="1" t="s">
        <v>166</v>
      </c>
      <c r="C549" s="4">
        <v>34</v>
      </c>
      <c r="D549" s="8">
        <v>1.78</v>
      </c>
      <c r="E549" s="4">
        <v>28</v>
      </c>
      <c r="F549" s="8">
        <v>2.31</v>
      </c>
      <c r="G549" s="4">
        <v>6</v>
      </c>
      <c r="H549" s="8">
        <v>0.87</v>
      </c>
      <c r="I549" s="4">
        <v>0</v>
      </c>
    </row>
    <row r="550" spans="1:9" x14ac:dyDescent="0.15">
      <c r="A550" s="2">
        <v>12</v>
      </c>
      <c r="B550" s="1" t="s">
        <v>144</v>
      </c>
      <c r="C550" s="4">
        <v>31</v>
      </c>
      <c r="D550" s="8">
        <v>1.63</v>
      </c>
      <c r="E550" s="4">
        <v>29</v>
      </c>
      <c r="F550" s="8">
        <v>2.39</v>
      </c>
      <c r="G550" s="4">
        <v>2</v>
      </c>
      <c r="H550" s="8">
        <v>0.28999999999999998</v>
      </c>
      <c r="I550" s="4">
        <v>0</v>
      </c>
    </row>
    <row r="551" spans="1:9" x14ac:dyDescent="0.15">
      <c r="A551" s="2">
        <v>13</v>
      </c>
      <c r="B551" s="1" t="s">
        <v>129</v>
      </c>
      <c r="C551" s="4">
        <v>29</v>
      </c>
      <c r="D551" s="8">
        <v>1.52</v>
      </c>
      <c r="E551" s="4">
        <v>22</v>
      </c>
      <c r="F551" s="8">
        <v>1.81</v>
      </c>
      <c r="G551" s="4">
        <v>5</v>
      </c>
      <c r="H551" s="8">
        <v>0.73</v>
      </c>
      <c r="I551" s="4">
        <v>2</v>
      </c>
    </row>
    <row r="552" spans="1:9" x14ac:dyDescent="0.15">
      <c r="A552" s="2">
        <v>13</v>
      </c>
      <c r="B552" s="1" t="s">
        <v>131</v>
      </c>
      <c r="C552" s="4">
        <v>29</v>
      </c>
      <c r="D552" s="8">
        <v>1.52</v>
      </c>
      <c r="E552" s="4">
        <v>18</v>
      </c>
      <c r="F552" s="8">
        <v>1.48</v>
      </c>
      <c r="G552" s="4">
        <v>11</v>
      </c>
      <c r="H552" s="8">
        <v>1.6</v>
      </c>
      <c r="I552" s="4">
        <v>0</v>
      </c>
    </row>
    <row r="553" spans="1:9" x14ac:dyDescent="0.15">
      <c r="A553" s="2">
        <v>15</v>
      </c>
      <c r="B553" s="1" t="s">
        <v>167</v>
      </c>
      <c r="C553" s="4">
        <v>28</v>
      </c>
      <c r="D553" s="8">
        <v>1.47</v>
      </c>
      <c r="E553" s="4">
        <v>22</v>
      </c>
      <c r="F553" s="8">
        <v>1.81</v>
      </c>
      <c r="G553" s="4">
        <v>6</v>
      </c>
      <c r="H553" s="8">
        <v>0.87</v>
      </c>
      <c r="I553" s="4">
        <v>0</v>
      </c>
    </row>
    <row r="554" spans="1:9" x14ac:dyDescent="0.15">
      <c r="A554" s="2">
        <v>15</v>
      </c>
      <c r="B554" s="1" t="s">
        <v>139</v>
      </c>
      <c r="C554" s="4">
        <v>28</v>
      </c>
      <c r="D554" s="8">
        <v>1.47</v>
      </c>
      <c r="E554" s="4">
        <v>10</v>
      </c>
      <c r="F554" s="8">
        <v>0.82</v>
      </c>
      <c r="G554" s="4">
        <v>18</v>
      </c>
      <c r="H554" s="8">
        <v>2.62</v>
      </c>
      <c r="I554" s="4">
        <v>0</v>
      </c>
    </row>
    <row r="555" spans="1:9" x14ac:dyDescent="0.15">
      <c r="A555" s="2">
        <v>17</v>
      </c>
      <c r="B555" s="1" t="s">
        <v>126</v>
      </c>
      <c r="C555" s="4">
        <v>27</v>
      </c>
      <c r="D555" s="8">
        <v>1.42</v>
      </c>
      <c r="E555" s="4">
        <v>7</v>
      </c>
      <c r="F555" s="8">
        <v>0.57999999999999996</v>
      </c>
      <c r="G555" s="4">
        <v>20</v>
      </c>
      <c r="H555" s="8">
        <v>2.91</v>
      </c>
      <c r="I555" s="4">
        <v>0</v>
      </c>
    </row>
    <row r="556" spans="1:9" x14ac:dyDescent="0.15">
      <c r="A556" s="2">
        <v>18</v>
      </c>
      <c r="B556" s="1" t="s">
        <v>142</v>
      </c>
      <c r="C556" s="4">
        <v>26</v>
      </c>
      <c r="D556" s="8">
        <v>1.36</v>
      </c>
      <c r="E556" s="4">
        <v>19</v>
      </c>
      <c r="F556" s="8">
        <v>1.57</v>
      </c>
      <c r="G556" s="4">
        <v>7</v>
      </c>
      <c r="H556" s="8">
        <v>1.02</v>
      </c>
      <c r="I556" s="4">
        <v>0</v>
      </c>
    </row>
    <row r="557" spans="1:9" x14ac:dyDescent="0.15">
      <c r="A557" s="2">
        <v>19</v>
      </c>
      <c r="B557" s="1" t="s">
        <v>160</v>
      </c>
      <c r="C557" s="4">
        <v>25</v>
      </c>
      <c r="D557" s="8">
        <v>1.31</v>
      </c>
      <c r="E557" s="4">
        <v>16</v>
      </c>
      <c r="F557" s="8">
        <v>1.32</v>
      </c>
      <c r="G557" s="4">
        <v>9</v>
      </c>
      <c r="H557" s="8">
        <v>1.31</v>
      </c>
      <c r="I557" s="4">
        <v>0</v>
      </c>
    </row>
    <row r="558" spans="1:9" x14ac:dyDescent="0.15">
      <c r="A558" s="2">
        <v>19</v>
      </c>
      <c r="B558" s="1" t="s">
        <v>136</v>
      </c>
      <c r="C558" s="4">
        <v>25</v>
      </c>
      <c r="D558" s="8">
        <v>1.31</v>
      </c>
      <c r="E558" s="4">
        <v>24</v>
      </c>
      <c r="F558" s="8">
        <v>1.98</v>
      </c>
      <c r="G558" s="4">
        <v>1</v>
      </c>
      <c r="H558" s="8">
        <v>0.15</v>
      </c>
      <c r="I558" s="4">
        <v>0</v>
      </c>
    </row>
    <row r="559" spans="1:9" x14ac:dyDescent="0.15">
      <c r="A559" s="2">
        <v>19</v>
      </c>
      <c r="B559" s="1" t="s">
        <v>137</v>
      </c>
      <c r="C559" s="4">
        <v>25</v>
      </c>
      <c r="D559" s="8">
        <v>1.31</v>
      </c>
      <c r="E559" s="4">
        <v>25</v>
      </c>
      <c r="F559" s="8">
        <v>2.06</v>
      </c>
      <c r="G559" s="4">
        <v>0</v>
      </c>
      <c r="H559" s="8">
        <v>0</v>
      </c>
      <c r="I559" s="4">
        <v>0</v>
      </c>
    </row>
    <row r="560" spans="1:9" x14ac:dyDescent="0.15">
      <c r="A560" s="1"/>
      <c r="C560" s="4"/>
      <c r="D560" s="8"/>
      <c r="E560" s="4"/>
      <c r="F560" s="8"/>
      <c r="G560" s="4"/>
      <c r="H560" s="8"/>
      <c r="I560" s="4"/>
    </row>
    <row r="561" spans="1:9" x14ac:dyDescent="0.15">
      <c r="A561" s="1" t="s">
        <v>25</v>
      </c>
      <c r="C561" s="4"/>
      <c r="D561" s="8"/>
      <c r="E561" s="4"/>
      <c r="F561" s="8"/>
      <c r="G561" s="4"/>
      <c r="H561" s="8"/>
      <c r="I561" s="4"/>
    </row>
    <row r="562" spans="1:9" x14ac:dyDescent="0.15">
      <c r="A562" s="2">
        <v>1</v>
      </c>
      <c r="B562" s="1" t="s">
        <v>141</v>
      </c>
      <c r="C562" s="4">
        <v>98</v>
      </c>
      <c r="D562" s="8">
        <v>5.27</v>
      </c>
      <c r="E562" s="4">
        <v>95</v>
      </c>
      <c r="F562" s="8">
        <v>7.9</v>
      </c>
      <c r="G562" s="4">
        <v>3</v>
      </c>
      <c r="H562" s="8">
        <v>0.46</v>
      </c>
      <c r="I562" s="4">
        <v>0</v>
      </c>
    </row>
    <row r="563" spans="1:9" x14ac:dyDescent="0.15">
      <c r="A563" s="2">
        <v>2</v>
      </c>
      <c r="B563" s="1" t="s">
        <v>138</v>
      </c>
      <c r="C563" s="4">
        <v>83</v>
      </c>
      <c r="D563" s="8">
        <v>4.46</v>
      </c>
      <c r="E563" s="4">
        <v>83</v>
      </c>
      <c r="F563" s="8">
        <v>6.91</v>
      </c>
      <c r="G563" s="4">
        <v>0</v>
      </c>
      <c r="H563" s="8">
        <v>0</v>
      </c>
      <c r="I563" s="4">
        <v>0</v>
      </c>
    </row>
    <row r="564" spans="1:9" x14ac:dyDescent="0.15">
      <c r="A564" s="2">
        <v>3</v>
      </c>
      <c r="B564" s="1" t="s">
        <v>140</v>
      </c>
      <c r="C564" s="4">
        <v>64</v>
      </c>
      <c r="D564" s="8">
        <v>3.44</v>
      </c>
      <c r="E564" s="4">
        <v>62</v>
      </c>
      <c r="F564" s="8">
        <v>5.16</v>
      </c>
      <c r="G564" s="4">
        <v>2</v>
      </c>
      <c r="H564" s="8">
        <v>0.3</v>
      </c>
      <c r="I564" s="4">
        <v>0</v>
      </c>
    </row>
    <row r="565" spans="1:9" x14ac:dyDescent="0.15">
      <c r="A565" s="2">
        <v>4</v>
      </c>
      <c r="B565" s="1" t="s">
        <v>136</v>
      </c>
      <c r="C565" s="4">
        <v>61</v>
      </c>
      <c r="D565" s="8">
        <v>3.28</v>
      </c>
      <c r="E565" s="4">
        <v>61</v>
      </c>
      <c r="F565" s="8">
        <v>5.07</v>
      </c>
      <c r="G565" s="4">
        <v>0</v>
      </c>
      <c r="H565" s="8">
        <v>0</v>
      </c>
      <c r="I565" s="4">
        <v>0</v>
      </c>
    </row>
    <row r="566" spans="1:9" x14ac:dyDescent="0.15">
      <c r="A566" s="2">
        <v>4</v>
      </c>
      <c r="B566" s="1" t="s">
        <v>143</v>
      </c>
      <c r="C566" s="4">
        <v>61</v>
      </c>
      <c r="D566" s="8">
        <v>3.28</v>
      </c>
      <c r="E566" s="4">
        <v>51</v>
      </c>
      <c r="F566" s="8">
        <v>4.24</v>
      </c>
      <c r="G566" s="4">
        <v>10</v>
      </c>
      <c r="H566" s="8">
        <v>1.52</v>
      </c>
      <c r="I566" s="4">
        <v>0</v>
      </c>
    </row>
    <row r="567" spans="1:9" x14ac:dyDescent="0.15">
      <c r="A567" s="2">
        <v>6</v>
      </c>
      <c r="B567" s="1" t="s">
        <v>137</v>
      </c>
      <c r="C567" s="4">
        <v>50</v>
      </c>
      <c r="D567" s="8">
        <v>2.69</v>
      </c>
      <c r="E567" s="4">
        <v>50</v>
      </c>
      <c r="F567" s="8">
        <v>4.16</v>
      </c>
      <c r="G567" s="4">
        <v>0</v>
      </c>
      <c r="H567" s="8">
        <v>0</v>
      </c>
      <c r="I567" s="4">
        <v>0</v>
      </c>
    </row>
    <row r="568" spans="1:9" x14ac:dyDescent="0.15">
      <c r="A568" s="2">
        <v>7</v>
      </c>
      <c r="B568" s="1" t="s">
        <v>144</v>
      </c>
      <c r="C568" s="4">
        <v>46</v>
      </c>
      <c r="D568" s="8">
        <v>2.4700000000000002</v>
      </c>
      <c r="E568" s="4">
        <v>41</v>
      </c>
      <c r="F568" s="8">
        <v>3.41</v>
      </c>
      <c r="G568" s="4">
        <v>5</v>
      </c>
      <c r="H568" s="8">
        <v>0.76</v>
      </c>
      <c r="I568" s="4">
        <v>0</v>
      </c>
    </row>
    <row r="569" spans="1:9" x14ac:dyDescent="0.15">
      <c r="A569" s="2">
        <v>8</v>
      </c>
      <c r="B569" s="1" t="s">
        <v>125</v>
      </c>
      <c r="C569" s="4">
        <v>44</v>
      </c>
      <c r="D569" s="8">
        <v>2.37</v>
      </c>
      <c r="E569" s="4">
        <v>9</v>
      </c>
      <c r="F569" s="8">
        <v>0.75</v>
      </c>
      <c r="G569" s="4">
        <v>35</v>
      </c>
      <c r="H569" s="8">
        <v>5.33</v>
      </c>
      <c r="I569" s="4">
        <v>0</v>
      </c>
    </row>
    <row r="570" spans="1:9" x14ac:dyDescent="0.15">
      <c r="A570" s="2">
        <v>8</v>
      </c>
      <c r="B570" s="1" t="s">
        <v>132</v>
      </c>
      <c r="C570" s="4">
        <v>44</v>
      </c>
      <c r="D570" s="8">
        <v>2.37</v>
      </c>
      <c r="E570" s="4">
        <v>35</v>
      </c>
      <c r="F570" s="8">
        <v>2.91</v>
      </c>
      <c r="G570" s="4">
        <v>9</v>
      </c>
      <c r="H570" s="8">
        <v>1.37</v>
      </c>
      <c r="I570" s="4">
        <v>0</v>
      </c>
    </row>
    <row r="571" spans="1:9" x14ac:dyDescent="0.15">
      <c r="A571" s="2">
        <v>10</v>
      </c>
      <c r="B571" s="1" t="s">
        <v>151</v>
      </c>
      <c r="C571" s="4">
        <v>40</v>
      </c>
      <c r="D571" s="8">
        <v>2.15</v>
      </c>
      <c r="E571" s="4">
        <v>37</v>
      </c>
      <c r="F571" s="8">
        <v>3.08</v>
      </c>
      <c r="G571" s="4">
        <v>3</v>
      </c>
      <c r="H571" s="8">
        <v>0.46</v>
      </c>
      <c r="I571" s="4">
        <v>0</v>
      </c>
    </row>
    <row r="572" spans="1:9" x14ac:dyDescent="0.15">
      <c r="A572" s="2">
        <v>11</v>
      </c>
      <c r="B572" s="1" t="s">
        <v>134</v>
      </c>
      <c r="C572" s="4">
        <v>38</v>
      </c>
      <c r="D572" s="8">
        <v>2.04</v>
      </c>
      <c r="E572" s="4">
        <v>26</v>
      </c>
      <c r="F572" s="8">
        <v>2.16</v>
      </c>
      <c r="G572" s="4">
        <v>12</v>
      </c>
      <c r="H572" s="8">
        <v>1.83</v>
      </c>
      <c r="I572" s="4">
        <v>0</v>
      </c>
    </row>
    <row r="573" spans="1:9" x14ac:dyDescent="0.15">
      <c r="A573" s="2">
        <v>12</v>
      </c>
      <c r="B573" s="1" t="s">
        <v>135</v>
      </c>
      <c r="C573" s="4">
        <v>36</v>
      </c>
      <c r="D573" s="8">
        <v>1.94</v>
      </c>
      <c r="E573" s="4">
        <v>34</v>
      </c>
      <c r="F573" s="8">
        <v>2.83</v>
      </c>
      <c r="G573" s="4">
        <v>2</v>
      </c>
      <c r="H573" s="8">
        <v>0.3</v>
      </c>
      <c r="I573" s="4">
        <v>0</v>
      </c>
    </row>
    <row r="574" spans="1:9" x14ac:dyDescent="0.15">
      <c r="A574" s="2">
        <v>13</v>
      </c>
      <c r="B574" s="1" t="s">
        <v>139</v>
      </c>
      <c r="C574" s="4">
        <v>34</v>
      </c>
      <c r="D574" s="8">
        <v>1.83</v>
      </c>
      <c r="E574" s="4">
        <v>18</v>
      </c>
      <c r="F574" s="8">
        <v>1.5</v>
      </c>
      <c r="G574" s="4">
        <v>16</v>
      </c>
      <c r="H574" s="8">
        <v>2.44</v>
      </c>
      <c r="I574" s="4">
        <v>0</v>
      </c>
    </row>
    <row r="575" spans="1:9" x14ac:dyDescent="0.15">
      <c r="A575" s="2">
        <v>14</v>
      </c>
      <c r="B575" s="1" t="s">
        <v>127</v>
      </c>
      <c r="C575" s="4">
        <v>33</v>
      </c>
      <c r="D575" s="8">
        <v>1.78</v>
      </c>
      <c r="E575" s="4">
        <v>13</v>
      </c>
      <c r="F575" s="8">
        <v>1.08</v>
      </c>
      <c r="G575" s="4">
        <v>20</v>
      </c>
      <c r="H575" s="8">
        <v>3.04</v>
      </c>
      <c r="I575" s="4">
        <v>0</v>
      </c>
    </row>
    <row r="576" spans="1:9" x14ac:dyDescent="0.15">
      <c r="A576" s="2">
        <v>14</v>
      </c>
      <c r="B576" s="1" t="s">
        <v>129</v>
      </c>
      <c r="C576" s="4">
        <v>33</v>
      </c>
      <c r="D576" s="8">
        <v>1.78</v>
      </c>
      <c r="E576" s="4">
        <v>26</v>
      </c>
      <c r="F576" s="8">
        <v>2.16</v>
      </c>
      <c r="G576" s="4">
        <v>7</v>
      </c>
      <c r="H576" s="8">
        <v>1.07</v>
      </c>
      <c r="I576" s="4">
        <v>0</v>
      </c>
    </row>
    <row r="577" spans="1:9" x14ac:dyDescent="0.15">
      <c r="A577" s="2">
        <v>16</v>
      </c>
      <c r="B577" s="1" t="s">
        <v>142</v>
      </c>
      <c r="C577" s="4">
        <v>32</v>
      </c>
      <c r="D577" s="8">
        <v>1.72</v>
      </c>
      <c r="E577" s="4">
        <v>26</v>
      </c>
      <c r="F577" s="8">
        <v>2.16</v>
      </c>
      <c r="G577" s="4">
        <v>6</v>
      </c>
      <c r="H577" s="8">
        <v>0.91</v>
      </c>
      <c r="I577" s="4">
        <v>0</v>
      </c>
    </row>
    <row r="578" spans="1:9" x14ac:dyDescent="0.15">
      <c r="A578" s="2">
        <v>17</v>
      </c>
      <c r="B578" s="1" t="s">
        <v>160</v>
      </c>
      <c r="C578" s="4">
        <v>31</v>
      </c>
      <c r="D578" s="8">
        <v>1.67</v>
      </c>
      <c r="E578" s="4">
        <v>12</v>
      </c>
      <c r="F578" s="8">
        <v>1</v>
      </c>
      <c r="G578" s="4">
        <v>19</v>
      </c>
      <c r="H578" s="8">
        <v>2.89</v>
      </c>
      <c r="I578" s="4">
        <v>0</v>
      </c>
    </row>
    <row r="579" spans="1:9" x14ac:dyDescent="0.15">
      <c r="A579" s="2">
        <v>17</v>
      </c>
      <c r="B579" s="1" t="s">
        <v>146</v>
      </c>
      <c r="C579" s="4">
        <v>31</v>
      </c>
      <c r="D579" s="8">
        <v>1.67</v>
      </c>
      <c r="E579" s="4">
        <v>25</v>
      </c>
      <c r="F579" s="8">
        <v>2.08</v>
      </c>
      <c r="G579" s="4">
        <v>6</v>
      </c>
      <c r="H579" s="8">
        <v>0.91</v>
      </c>
      <c r="I579" s="4">
        <v>0</v>
      </c>
    </row>
    <row r="580" spans="1:9" x14ac:dyDescent="0.15">
      <c r="A580" s="2">
        <v>19</v>
      </c>
      <c r="B580" s="1" t="s">
        <v>131</v>
      </c>
      <c r="C580" s="4">
        <v>29</v>
      </c>
      <c r="D580" s="8">
        <v>1.56</v>
      </c>
      <c r="E580" s="4">
        <v>13</v>
      </c>
      <c r="F580" s="8">
        <v>1.08</v>
      </c>
      <c r="G580" s="4">
        <v>16</v>
      </c>
      <c r="H580" s="8">
        <v>2.44</v>
      </c>
      <c r="I580" s="4">
        <v>0</v>
      </c>
    </row>
    <row r="581" spans="1:9" x14ac:dyDescent="0.15">
      <c r="A581" s="2">
        <v>19</v>
      </c>
      <c r="B581" s="1" t="s">
        <v>148</v>
      </c>
      <c r="C581" s="4">
        <v>29</v>
      </c>
      <c r="D581" s="8">
        <v>1.56</v>
      </c>
      <c r="E581" s="4">
        <v>25</v>
      </c>
      <c r="F581" s="8">
        <v>2.08</v>
      </c>
      <c r="G581" s="4">
        <v>4</v>
      </c>
      <c r="H581" s="8">
        <v>0.61</v>
      </c>
      <c r="I581" s="4">
        <v>0</v>
      </c>
    </row>
    <row r="582" spans="1:9" x14ac:dyDescent="0.15">
      <c r="A582" s="1"/>
      <c r="C582" s="4"/>
      <c r="D582" s="8"/>
      <c r="E582" s="4"/>
      <c r="F582" s="8"/>
      <c r="G582" s="4"/>
      <c r="H582" s="8"/>
      <c r="I582" s="4"/>
    </row>
    <row r="583" spans="1:9" x14ac:dyDescent="0.15">
      <c r="A583" s="1" t="s">
        <v>26</v>
      </c>
      <c r="C583" s="4"/>
      <c r="D583" s="8"/>
      <c r="E583" s="4"/>
      <c r="F583" s="8"/>
      <c r="G583" s="4"/>
      <c r="H583" s="8"/>
      <c r="I583" s="4"/>
    </row>
    <row r="584" spans="1:9" x14ac:dyDescent="0.15">
      <c r="A584" s="2">
        <v>1</v>
      </c>
      <c r="B584" s="1" t="s">
        <v>141</v>
      </c>
      <c r="C584" s="4">
        <v>160</v>
      </c>
      <c r="D584" s="8">
        <v>6.71</v>
      </c>
      <c r="E584" s="4">
        <v>138</v>
      </c>
      <c r="F584" s="8">
        <v>10.210000000000001</v>
      </c>
      <c r="G584" s="4">
        <v>22</v>
      </c>
      <c r="H584" s="8">
        <v>2.14</v>
      </c>
      <c r="I584" s="4">
        <v>0</v>
      </c>
    </row>
    <row r="585" spans="1:9" x14ac:dyDescent="0.15">
      <c r="A585" s="2">
        <v>2</v>
      </c>
      <c r="B585" s="1" t="s">
        <v>134</v>
      </c>
      <c r="C585" s="4">
        <v>96</v>
      </c>
      <c r="D585" s="8">
        <v>4.03</v>
      </c>
      <c r="E585" s="4">
        <v>52</v>
      </c>
      <c r="F585" s="8">
        <v>3.85</v>
      </c>
      <c r="G585" s="4">
        <v>44</v>
      </c>
      <c r="H585" s="8">
        <v>4.28</v>
      </c>
      <c r="I585" s="4">
        <v>0</v>
      </c>
    </row>
    <row r="586" spans="1:9" x14ac:dyDescent="0.15">
      <c r="A586" s="2">
        <v>3</v>
      </c>
      <c r="B586" s="1" t="s">
        <v>143</v>
      </c>
      <c r="C586" s="4">
        <v>93</v>
      </c>
      <c r="D586" s="8">
        <v>3.9</v>
      </c>
      <c r="E586" s="4">
        <v>66</v>
      </c>
      <c r="F586" s="8">
        <v>4.8899999999999997</v>
      </c>
      <c r="G586" s="4">
        <v>27</v>
      </c>
      <c r="H586" s="8">
        <v>2.63</v>
      </c>
      <c r="I586" s="4">
        <v>0</v>
      </c>
    </row>
    <row r="587" spans="1:9" x14ac:dyDescent="0.15">
      <c r="A587" s="2">
        <v>4</v>
      </c>
      <c r="B587" s="1" t="s">
        <v>132</v>
      </c>
      <c r="C587" s="4">
        <v>70</v>
      </c>
      <c r="D587" s="8">
        <v>2.94</v>
      </c>
      <c r="E587" s="4">
        <v>54</v>
      </c>
      <c r="F587" s="8">
        <v>4</v>
      </c>
      <c r="G587" s="4">
        <v>16</v>
      </c>
      <c r="H587" s="8">
        <v>1.56</v>
      </c>
      <c r="I587" s="4">
        <v>0</v>
      </c>
    </row>
    <row r="588" spans="1:9" x14ac:dyDescent="0.15">
      <c r="A588" s="2">
        <v>5</v>
      </c>
      <c r="B588" s="1" t="s">
        <v>138</v>
      </c>
      <c r="C588" s="4">
        <v>58</v>
      </c>
      <c r="D588" s="8">
        <v>2.4300000000000002</v>
      </c>
      <c r="E588" s="4">
        <v>54</v>
      </c>
      <c r="F588" s="8">
        <v>4</v>
      </c>
      <c r="G588" s="4">
        <v>4</v>
      </c>
      <c r="H588" s="8">
        <v>0.39</v>
      </c>
      <c r="I588" s="4">
        <v>0</v>
      </c>
    </row>
    <row r="589" spans="1:9" x14ac:dyDescent="0.15">
      <c r="A589" s="2">
        <v>6</v>
      </c>
      <c r="B589" s="1" t="s">
        <v>144</v>
      </c>
      <c r="C589" s="4">
        <v>57</v>
      </c>
      <c r="D589" s="8">
        <v>2.39</v>
      </c>
      <c r="E589" s="4">
        <v>51</v>
      </c>
      <c r="F589" s="8">
        <v>3.77</v>
      </c>
      <c r="G589" s="4">
        <v>6</v>
      </c>
      <c r="H589" s="8">
        <v>0.57999999999999996</v>
      </c>
      <c r="I589" s="4">
        <v>0</v>
      </c>
    </row>
    <row r="590" spans="1:9" x14ac:dyDescent="0.15">
      <c r="A590" s="2">
        <v>7</v>
      </c>
      <c r="B590" s="1" t="s">
        <v>137</v>
      </c>
      <c r="C590" s="4">
        <v>56</v>
      </c>
      <c r="D590" s="8">
        <v>2.35</v>
      </c>
      <c r="E590" s="4">
        <v>56</v>
      </c>
      <c r="F590" s="8">
        <v>4.1500000000000004</v>
      </c>
      <c r="G590" s="4">
        <v>0</v>
      </c>
      <c r="H590" s="8">
        <v>0</v>
      </c>
      <c r="I590" s="4">
        <v>0</v>
      </c>
    </row>
    <row r="591" spans="1:9" x14ac:dyDescent="0.15">
      <c r="A591" s="2">
        <v>8</v>
      </c>
      <c r="B591" s="1" t="s">
        <v>136</v>
      </c>
      <c r="C591" s="4">
        <v>54</v>
      </c>
      <c r="D591" s="8">
        <v>2.27</v>
      </c>
      <c r="E591" s="4">
        <v>53</v>
      </c>
      <c r="F591" s="8">
        <v>3.92</v>
      </c>
      <c r="G591" s="4">
        <v>1</v>
      </c>
      <c r="H591" s="8">
        <v>0.1</v>
      </c>
      <c r="I591" s="4">
        <v>0</v>
      </c>
    </row>
    <row r="592" spans="1:9" x14ac:dyDescent="0.15">
      <c r="A592" s="2">
        <v>9</v>
      </c>
      <c r="B592" s="1" t="s">
        <v>125</v>
      </c>
      <c r="C592" s="4">
        <v>53</v>
      </c>
      <c r="D592" s="8">
        <v>2.2200000000000002</v>
      </c>
      <c r="E592" s="4">
        <v>8</v>
      </c>
      <c r="F592" s="8">
        <v>0.59</v>
      </c>
      <c r="G592" s="4">
        <v>45</v>
      </c>
      <c r="H592" s="8">
        <v>4.38</v>
      </c>
      <c r="I592" s="4">
        <v>0</v>
      </c>
    </row>
    <row r="593" spans="1:9" x14ac:dyDescent="0.15">
      <c r="A593" s="2">
        <v>10</v>
      </c>
      <c r="B593" s="1" t="s">
        <v>130</v>
      </c>
      <c r="C593" s="4">
        <v>50</v>
      </c>
      <c r="D593" s="8">
        <v>2.1</v>
      </c>
      <c r="E593" s="4">
        <v>25</v>
      </c>
      <c r="F593" s="8">
        <v>1.85</v>
      </c>
      <c r="G593" s="4">
        <v>25</v>
      </c>
      <c r="H593" s="8">
        <v>2.4300000000000002</v>
      </c>
      <c r="I593" s="4">
        <v>0</v>
      </c>
    </row>
    <row r="594" spans="1:9" x14ac:dyDescent="0.15">
      <c r="A594" s="2">
        <v>10</v>
      </c>
      <c r="B594" s="1" t="s">
        <v>135</v>
      </c>
      <c r="C594" s="4">
        <v>50</v>
      </c>
      <c r="D594" s="8">
        <v>2.1</v>
      </c>
      <c r="E594" s="4">
        <v>44</v>
      </c>
      <c r="F594" s="8">
        <v>3.26</v>
      </c>
      <c r="G594" s="4">
        <v>6</v>
      </c>
      <c r="H594" s="8">
        <v>0.57999999999999996</v>
      </c>
      <c r="I594" s="4">
        <v>0</v>
      </c>
    </row>
    <row r="595" spans="1:9" x14ac:dyDescent="0.15">
      <c r="A595" s="2">
        <v>12</v>
      </c>
      <c r="B595" s="1" t="s">
        <v>149</v>
      </c>
      <c r="C595" s="4">
        <v>48</v>
      </c>
      <c r="D595" s="8">
        <v>2.0099999999999998</v>
      </c>
      <c r="E595" s="4">
        <v>3</v>
      </c>
      <c r="F595" s="8">
        <v>0.22</v>
      </c>
      <c r="G595" s="4">
        <v>44</v>
      </c>
      <c r="H595" s="8">
        <v>4.28</v>
      </c>
      <c r="I595" s="4">
        <v>1</v>
      </c>
    </row>
    <row r="596" spans="1:9" x14ac:dyDescent="0.15">
      <c r="A596" s="2">
        <v>12</v>
      </c>
      <c r="B596" s="1" t="s">
        <v>142</v>
      </c>
      <c r="C596" s="4">
        <v>48</v>
      </c>
      <c r="D596" s="8">
        <v>2.0099999999999998</v>
      </c>
      <c r="E596" s="4">
        <v>38</v>
      </c>
      <c r="F596" s="8">
        <v>2.81</v>
      </c>
      <c r="G596" s="4">
        <v>10</v>
      </c>
      <c r="H596" s="8">
        <v>0.97</v>
      </c>
      <c r="I596" s="4">
        <v>0</v>
      </c>
    </row>
    <row r="597" spans="1:9" x14ac:dyDescent="0.15">
      <c r="A597" s="2">
        <v>14</v>
      </c>
      <c r="B597" s="1" t="s">
        <v>147</v>
      </c>
      <c r="C597" s="4">
        <v>47</v>
      </c>
      <c r="D597" s="8">
        <v>1.97</v>
      </c>
      <c r="E597" s="4">
        <v>14</v>
      </c>
      <c r="F597" s="8">
        <v>1.04</v>
      </c>
      <c r="G597" s="4">
        <v>33</v>
      </c>
      <c r="H597" s="8">
        <v>3.21</v>
      </c>
      <c r="I597" s="4">
        <v>0</v>
      </c>
    </row>
    <row r="598" spans="1:9" x14ac:dyDescent="0.15">
      <c r="A598" s="2">
        <v>15</v>
      </c>
      <c r="B598" s="1" t="s">
        <v>159</v>
      </c>
      <c r="C598" s="4">
        <v>45</v>
      </c>
      <c r="D598" s="8">
        <v>1.89</v>
      </c>
      <c r="E598" s="4">
        <v>35</v>
      </c>
      <c r="F598" s="8">
        <v>2.59</v>
      </c>
      <c r="G598" s="4">
        <v>10</v>
      </c>
      <c r="H598" s="8">
        <v>0.97</v>
      </c>
      <c r="I598" s="4">
        <v>0</v>
      </c>
    </row>
    <row r="599" spans="1:9" x14ac:dyDescent="0.15">
      <c r="A599" s="2">
        <v>15</v>
      </c>
      <c r="B599" s="1" t="s">
        <v>139</v>
      </c>
      <c r="C599" s="4">
        <v>45</v>
      </c>
      <c r="D599" s="8">
        <v>1.89</v>
      </c>
      <c r="E599" s="4">
        <v>31</v>
      </c>
      <c r="F599" s="8">
        <v>2.29</v>
      </c>
      <c r="G599" s="4">
        <v>14</v>
      </c>
      <c r="H599" s="8">
        <v>1.36</v>
      </c>
      <c r="I599" s="4">
        <v>0</v>
      </c>
    </row>
    <row r="600" spans="1:9" x14ac:dyDescent="0.15">
      <c r="A600" s="2">
        <v>17</v>
      </c>
      <c r="B600" s="1" t="s">
        <v>129</v>
      </c>
      <c r="C600" s="4">
        <v>44</v>
      </c>
      <c r="D600" s="8">
        <v>1.85</v>
      </c>
      <c r="E600" s="4">
        <v>28</v>
      </c>
      <c r="F600" s="8">
        <v>2.0699999999999998</v>
      </c>
      <c r="G600" s="4">
        <v>15</v>
      </c>
      <c r="H600" s="8">
        <v>1.46</v>
      </c>
      <c r="I600" s="4">
        <v>1</v>
      </c>
    </row>
    <row r="601" spans="1:9" x14ac:dyDescent="0.15">
      <c r="A601" s="2">
        <v>18</v>
      </c>
      <c r="B601" s="1" t="s">
        <v>128</v>
      </c>
      <c r="C601" s="4">
        <v>43</v>
      </c>
      <c r="D601" s="8">
        <v>1.8</v>
      </c>
      <c r="E601" s="4">
        <v>19</v>
      </c>
      <c r="F601" s="8">
        <v>1.41</v>
      </c>
      <c r="G601" s="4">
        <v>24</v>
      </c>
      <c r="H601" s="8">
        <v>2.34</v>
      </c>
      <c r="I601" s="4">
        <v>0</v>
      </c>
    </row>
    <row r="602" spans="1:9" x14ac:dyDescent="0.15">
      <c r="A602" s="2">
        <v>19</v>
      </c>
      <c r="B602" s="1" t="s">
        <v>140</v>
      </c>
      <c r="C602" s="4">
        <v>42</v>
      </c>
      <c r="D602" s="8">
        <v>1.76</v>
      </c>
      <c r="E602" s="4">
        <v>39</v>
      </c>
      <c r="F602" s="8">
        <v>2.89</v>
      </c>
      <c r="G602" s="4">
        <v>3</v>
      </c>
      <c r="H602" s="8">
        <v>0.28999999999999998</v>
      </c>
      <c r="I602" s="4">
        <v>0</v>
      </c>
    </row>
    <row r="603" spans="1:9" x14ac:dyDescent="0.15">
      <c r="A603" s="2">
        <v>20</v>
      </c>
      <c r="B603" s="1" t="s">
        <v>146</v>
      </c>
      <c r="C603" s="4">
        <v>36</v>
      </c>
      <c r="D603" s="8">
        <v>1.51</v>
      </c>
      <c r="E603" s="4">
        <v>26</v>
      </c>
      <c r="F603" s="8">
        <v>1.92</v>
      </c>
      <c r="G603" s="4">
        <v>10</v>
      </c>
      <c r="H603" s="8">
        <v>0.97</v>
      </c>
      <c r="I603" s="4">
        <v>0</v>
      </c>
    </row>
    <row r="604" spans="1:9" x14ac:dyDescent="0.15">
      <c r="A604" s="1"/>
      <c r="C604" s="4"/>
      <c r="D604" s="8"/>
      <c r="E604" s="4"/>
      <c r="F604" s="8"/>
      <c r="G604" s="4"/>
      <c r="H604" s="8"/>
      <c r="I604" s="4"/>
    </row>
    <row r="605" spans="1:9" x14ac:dyDescent="0.15">
      <c r="A605" s="1" t="s">
        <v>27</v>
      </c>
      <c r="C605" s="4"/>
      <c r="D605" s="8"/>
      <c r="E605" s="4"/>
      <c r="F605" s="8"/>
      <c r="G605" s="4"/>
      <c r="H605" s="8"/>
      <c r="I605" s="4"/>
    </row>
    <row r="606" spans="1:9" x14ac:dyDescent="0.15">
      <c r="A606" s="2">
        <v>1</v>
      </c>
      <c r="B606" s="1" t="s">
        <v>177</v>
      </c>
      <c r="C606" s="4">
        <v>90</v>
      </c>
      <c r="D606" s="8">
        <v>7.21</v>
      </c>
      <c r="E606" s="4">
        <v>74</v>
      </c>
      <c r="F606" s="8">
        <v>8.92</v>
      </c>
      <c r="G606" s="4">
        <v>16</v>
      </c>
      <c r="H606" s="8">
        <v>3.86</v>
      </c>
      <c r="I606" s="4">
        <v>0</v>
      </c>
    </row>
    <row r="607" spans="1:9" x14ac:dyDescent="0.15">
      <c r="A607" s="2">
        <v>2</v>
      </c>
      <c r="B607" s="1" t="s">
        <v>141</v>
      </c>
      <c r="C607" s="4">
        <v>49</v>
      </c>
      <c r="D607" s="8">
        <v>3.92</v>
      </c>
      <c r="E607" s="4">
        <v>45</v>
      </c>
      <c r="F607" s="8">
        <v>5.42</v>
      </c>
      <c r="G607" s="4">
        <v>4</v>
      </c>
      <c r="H607" s="8">
        <v>0.96</v>
      </c>
      <c r="I607" s="4">
        <v>0</v>
      </c>
    </row>
    <row r="608" spans="1:9" x14ac:dyDescent="0.15">
      <c r="A608" s="2">
        <v>3</v>
      </c>
      <c r="B608" s="1" t="s">
        <v>134</v>
      </c>
      <c r="C608" s="4">
        <v>33</v>
      </c>
      <c r="D608" s="8">
        <v>2.64</v>
      </c>
      <c r="E608" s="4">
        <v>21</v>
      </c>
      <c r="F608" s="8">
        <v>2.5299999999999998</v>
      </c>
      <c r="G608" s="4">
        <v>12</v>
      </c>
      <c r="H608" s="8">
        <v>2.89</v>
      </c>
      <c r="I608" s="4">
        <v>0</v>
      </c>
    </row>
    <row r="609" spans="1:9" x14ac:dyDescent="0.15">
      <c r="A609" s="2">
        <v>4</v>
      </c>
      <c r="B609" s="1" t="s">
        <v>125</v>
      </c>
      <c r="C609" s="4">
        <v>32</v>
      </c>
      <c r="D609" s="8">
        <v>2.56</v>
      </c>
      <c r="E609" s="4">
        <v>12</v>
      </c>
      <c r="F609" s="8">
        <v>1.45</v>
      </c>
      <c r="G609" s="4">
        <v>20</v>
      </c>
      <c r="H609" s="8">
        <v>4.82</v>
      </c>
      <c r="I609" s="4">
        <v>0</v>
      </c>
    </row>
    <row r="610" spans="1:9" x14ac:dyDescent="0.15">
      <c r="A610" s="2">
        <v>5</v>
      </c>
      <c r="B610" s="1" t="s">
        <v>130</v>
      </c>
      <c r="C610" s="4">
        <v>30</v>
      </c>
      <c r="D610" s="8">
        <v>2.4</v>
      </c>
      <c r="E610" s="4">
        <v>21</v>
      </c>
      <c r="F610" s="8">
        <v>2.5299999999999998</v>
      </c>
      <c r="G610" s="4">
        <v>9</v>
      </c>
      <c r="H610" s="8">
        <v>2.17</v>
      </c>
      <c r="I610" s="4">
        <v>0</v>
      </c>
    </row>
    <row r="611" spans="1:9" x14ac:dyDescent="0.15">
      <c r="A611" s="2">
        <v>6</v>
      </c>
      <c r="B611" s="1" t="s">
        <v>132</v>
      </c>
      <c r="C611" s="4">
        <v>29</v>
      </c>
      <c r="D611" s="8">
        <v>2.3199999999999998</v>
      </c>
      <c r="E611" s="4">
        <v>17</v>
      </c>
      <c r="F611" s="8">
        <v>2.0499999999999998</v>
      </c>
      <c r="G611" s="4">
        <v>12</v>
      </c>
      <c r="H611" s="8">
        <v>2.89</v>
      </c>
      <c r="I611" s="4">
        <v>0</v>
      </c>
    </row>
    <row r="612" spans="1:9" x14ac:dyDescent="0.15">
      <c r="A612" s="2">
        <v>7</v>
      </c>
      <c r="B612" s="1" t="s">
        <v>162</v>
      </c>
      <c r="C612" s="4">
        <v>28</v>
      </c>
      <c r="D612" s="8">
        <v>2.2400000000000002</v>
      </c>
      <c r="E612" s="4">
        <v>19</v>
      </c>
      <c r="F612" s="8">
        <v>2.29</v>
      </c>
      <c r="G612" s="4">
        <v>8</v>
      </c>
      <c r="H612" s="8">
        <v>1.93</v>
      </c>
      <c r="I612" s="4">
        <v>1</v>
      </c>
    </row>
    <row r="613" spans="1:9" x14ac:dyDescent="0.15">
      <c r="A613" s="2">
        <v>7</v>
      </c>
      <c r="B613" s="1" t="s">
        <v>140</v>
      </c>
      <c r="C613" s="4">
        <v>28</v>
      </c>
      <c r="D613" s="8">
        <v>2.2400000000000002</v>
      </c>
      <c r="E613" s="4">
        <v>26</v>
      </c>
      <c r="F613" s="8">
        <v>3.13</v>
      </c>
      <c r="G613" s="4">
        <v>2</v>
      </c>
      <c r="H613" s="8">
        <v>0.48</v>
      </c>
      <c r="I613" s="4">
        <v>0</v>
      </c>
    </row>
    <row r="614" spans="1:9" x14ac:dyDescent="0.15">
      <c r="A614" s="2">
        <v>9</v>
      </c>
      <c r="B614" s="1" t="s">
        <v>137</v>
      </c>
      <c r="C614" s="4">
        <v>27</v>
      </c>
      <c r="D614" s="8">
        <v>2.16</v>
      </c>
      <c r="E614" s="4">
        <v>27</v>
      </c>
      <c r="F614" s="8">
        <v>3.25</v>
      </c>
      <c r="G614" s="4">
        <v>0</v>
      </c>
      <c r="H614" s="8">
        <v>0</v>
      </c>
      <c r="I614" s="4">
        <v>0</v>
      </c>
    </row>
    <row r="615" spans="1:9" x14ac:dyDescent="0.15">
      <c r="A615" s="2">
        <v>10</v>
      </c>
      <c r="B615" s="1" t="s">
        <v>138</v>
      </c>
      <c r="C615" s="4">
        <v>24</v>
      </c>
      <c r="D615" s="8">
        <v>1.92</v>
      </c>
      <c r="E615" s="4">
        <v>22</v>
      </c>
      <c r="F615" s="8">
        <v>2.65</v>
      </c>
      <c r="G615" s="4">
        <v>2</v>
      </c>
      <c r="H615" s="8">
        <v>0.48</v>
      </c>
      <c r="I615" s="4">
        <v>0</v>
      </c>
    </row>
    <row r="616" spans="1:9" x14ac:dyDescent="0.15">
      <c r="A616" s="2">
        <v>11</v>
      </c>
      <c r="B616" s="1" t="s">
        <v>143</v>
      </c>
      <c r="C616" s="4">
        <v>22</v>
      </c>
      <c r="D616" s="8">
        <v>1.76</v>
      </c>
      <c r="E616" s="4">
        <v>18</v>
      </c>
      <c r="F616" s="8">
        <v>2.17</v>
      </c>
      <c r="G616" s="4">
        <v>4</v>
      </c>
      <c r="H616" s="8">
        <v>0.96</v>
      </c>
      <c r="I616" s="4">
        <v>0</v>
      </c>
    </row>
    <row r="617" spans="1:9" x14ac:dyDescent="0.15">
      <c r="A617" s="2">
        <v>12</v>
      </c>
      <c r="B617" s="1" t="s">
        <v>144</v>
      </c>
      <c r="C617" s="4">
        <v>21</v>
      </c>
      <c r="D617" s="8">
        <v>1.68</v>
      </c>
      <c r="E617" s="4">
        <v>21</v>
      </c>
      <c r="F617" s="8">
        <v>2.5299999999999998</v>
      </c>
      <c r="G617" s="4">
        <v>0</v>
      </c>
      <c r="H617" s="8">
        <v>0</v>
      </c>
      <c r="I617" s="4">
        <v>0</v>
      </c>
    </row>
    <row r="618" spans="1:9" x14ac:dyDescent="0.15">
      <c r="A618" s="2">
        <v>13</v>
      </c>
      <c r="B618" s="1" t="s">
        <v>126</v>
      </c>
      <c r="C618" s="4">
        <v>20</v>
      </c>
      <c r="D618" s="8">
        <v>1.6</v>
      </c>
      <c r="E618" s="4">
        <v>11</v>
      </c>
      <c r="F618" s="8">
        <v>1.33</v>
      </c>
      <c r="G618" s="4">
        <v>9</v>
      </c>
      <c r="H618" s="8">
        <v>2.17</v>
      </c>
      <c r="I618" s="4">
        <v>0</v>
      </c>
    </row>
    <row r="619" spans="1:9" x14ac:dyDescent="0.15">
      <c r="A619" s="2">
        <v>14</v>
      </c>
      <c r="B619" s="1" t="s">
        <v>128</v>
      </c>
      <c r="C619" s="4">
        <v>19</v>
      </c>
      <c r="D619" s="8">
        <v>1.52</v>
      </c>
      <c r="E619" s="4">
        <v>14</v>
      </c>
      <c r="F619" s="8">
        <v>1.69</v>
      </c>
      <c r="G619" s="4">
        <v>5</v>
      </c>
      <c r="H619" s="8">
        <v>1.2</v>
      </c>
      <c r="I619" s="4">
        <v>0</v>
      </c>
    </row>
    <row r="620" spans="1:9" x14ac:dyDescent="0.15">
      <c r="A620" s="2">
        <v>15</v>
      </c>
      <c r="B620" s="1" t="s">
        <v>167</v>
      </c>
      <c r="C620" s="4">
        <v>18</v>
      </c>
      <c r="D620" s="8">
        <v>1.44</v>
      </c>
      <c r="E620" s="4">
        <v>13</v>
      </c>
      <c r="F620" s="8">
        <v>1.57</v>
      </c>
      <c r="G620" s="4">
        <v>5</v>
      </c>
      <c r="H620" s="8">
        <v>1.2</v>
      </c>
      <c r="I620" s="4">
        <v>0</v>
      </c>
    </row>
    <row r="621" spans="1:9" x14ac:dyDescent="0.15">
      <c r="A621" s="2">
        <v>15</v>
      </c>
      <c r="B621" s="1" t="s">
        <v>131</v>
      </c>
      <c r="C621" s="4">
        <v>18</v>
      </c>
      <c r="D621" s="8">
        <v>1.44</v>
      </c>
      <c r="E621" s="4">
        <v>9</v>
      </c>
      <c r="F621" s="8">
        <v>1.08</v>
      </c>
      <c r="G621" s="4">
        <v>9</v>
      </c>
      <c r="H621" s="8">
        <v>2.17</v>
      </c>
      <c r="I621" s="4">
        <v>0</v>
      </c>
    </row>
    <row r="622" spans="1:9" x14ac:dyDescent="0.15">
      <c r="A622" s="2">
        <v>15</v>
      </c>
      <c r="B622" s="1" t="s">
        <v>166</v>
      </c>
      <c r="C622" s="4">
        <v>18</v>
      </c>
      <c r="D622" s="8">
        <v>1.44</v>
      </c>
      <c r="E622" s="4">
        <v>16</v>
      </c>
      <c r="F622" s="8">
        <v>1.93</v>
      </c>
      <c r="G622" s="4">
        <v>2</v>
      </c>
      <c r="H622" s="8">
        <v>0.48</v>
      </c>
      <c r="I622" s="4">
        <v>0</v>
      </c>
    </row>
    <row r="623" spans="1:9" x14ac:dyDescent="0.15">
      <c r="A623" s="2">
        <v>18</v>
      </c>
      <c r="B623" s="1" t="s">
        <v>178</v>
      </c>
      <c r="C623" s="4">
        <v>17</v>
      </c>
      <c r="D623" s="8">
        <v>1.36</v>
      </c>
      <c r="E623" s="4">
        <v>16</v>
      </c>
      <c r="F623" s="8">
        <v>1.93</v>
      </c>
      <c r="G623" s="4">
        <v>1</v>
      </c>
      <c r="H623" s="8">
        <v>0.24</v>
      </c>
      <c r="I623" s="4">
        <v>0</v>
      </c>
    </row>
    <row r="624" spans="1:9" x14ac:dyDescent="0.15">
      <c r="A624" s="2">
        <v>18</v>
      </c>
      <c r="B624" s="1" t="s">
        <v>135</v>
      </c>
      <c r="C624" s="4">
        <v>17</v>
      </c>
      <c r="D624" s="8">
        <v>1.36</v>
      </c>
      <c r="E624" s="4">
        <v>16</v>
      </c>
      <c r="F624" s="8">
        <v>1.93</v>
      </c>
      <c r="G624" s="4">
        <v>1</v>
      </c>
      <c r="H624" s="8">
        <v>0.24</v>
      </c>
      <c r="I624" s="4">
        <v>0</v>
      </c>
    </row>
    <row r="625" spans="1:9" x14ac:dyDescent="0.15">
      <c r="A625" s="2">
        <v>20</v>
      </c>
      <c r="B625" s="1" t="s">
        <v>127</v>
      </c>
      <c r="C625" s="4">
        <v>15</v>
      </c>
      <c r="D625" s="8">
        <v>1.2</v>
      </c>
      <c r="E625" s="4">
        <v>11</v>
      </c>
      <c r="F625" s="8">
        <v>1.33</v>
      </c>
      <c r="G625" s="4">
        <v>4</v>
      </c>
      <c r="H625" s="8">
        <v>0.96</v>
      </c>
      <c r="I625" s="4">
        <v>0</v>
      </c>
    </row>
    <row r="626" spans="1:9" x14ac:dyDescent="0.15">
      <c r="A626" s="2">
        <v>20</v>
      </c>
      <c r="B626" s="1" t="s">
        <v>136</v>
      </c>
      <c r="C626" s="4">
        <v>15</v>
      </c>
      <c r="D626" s="8">
        <v>1.2</v>
      </c>
      <c r="E626" s="4">
        <v>14</v>
      </c>
      <c r="F626" s="8">
        <v>1.69</v>
      </c>
      <c r="G626" s="4">
        <v>1</v>
      </c>
      <c r="H626" s="8">
        <v>0.24</v>
      </c>
      <c r="I626" s="4">
        <v>0</v>
      </c>
    </row>
    <row r="627" spans="1:9" x14ac:dyDescent="0.15">
      <c r="A627" s="1"/>
      <c r="C627" s="4"/>
      <c r="D627" s="8"/>
      <c r="E627" s="4"/>
      <c r="F627" s="8"/>
      <c r="G627" s="4"/>
      <c r="H627" s="8"/>
      <c r="I627" s="4"/>
    </row>
    <row r="628" spans="1:9" x14ac:dyDescent="0.15">
      <c r="A628" s="1" t="s">
        <v>28</v>
      </c>
      <c r="C628" s="4"/>
      <c r="D628" s="8"/>
      <c r="E628" s="4"/>
      <c r="F628" s="8"/>
      <c r="G628" s="4"/>
      <c r="H628" s="8"/>
      <c r="I628" s="4"/>
    </row>
    <row r="629" spans="1:9" x14ac:dyDescent="0.15">
      <c r="A629" s="2">
        <v>1</v>
      </c>
      <c r="B629" s="1" t="s">
        <v>141</v>
      </c>
      <c r="C629" s="4">
        <v>70</v>
      </c>
      <c r="D629" s="8">
        <v>5.09</v>
      </c>
      <c r="E629" s="4">
        <v>61</v>
      </c>
      <c r="F629" s="8">
        <v>9.27</v>
      </c>
      <c r="G629" s="4">
        <v>9</v>
      </c>
      <c r="H629" s="8">
        <v>1.26</v>
      </c>
      <c r="I629" s="4">
        <v>0</v>
      </c>
    </row>
    <row r="630" spans="1:9" x14ac:dyDescent="0.15">
      <c r="A630" s="2">
        <v>2</v>
      </c>
      <c r="B630" s="1" t="s">
        <v>125</v>
      </c>
      <c r="C630" s="4">
        <v>44</v>
      </c>
      <c r="D630" s="8">
        <v>3.2</v>
      </c>
      <c r="E630" s="4">
        <v>2</v>
      </c>
      <c r="F630" s="8">
        <v>0.3</v>
      </c>
      <c r="G630" s="4">
        <v>42</v>
      </c>
      <c r="H630" s="8">
        <v>5.87</v>
      </c>
      <c r="I630" s="4">
        <v>0</v>
      </c>
    </row>
    <row r="631" spans="1:9" x14ac:dyDescent="0.15">
      <c r="A631" s="2">
        <v>3</v>
      </c>
      <c r="B631" s="1" t="s">
        <v>132</v>
      </c>
      <c r="C631" s="4">
        <v>42</v>
      </c>
      <c r="D631" s="8">
        <v>3.05</v>
      </c>
      <c r="E631" s="4">
        <v>24</v>
      </c>
      <c r="F631" s="8">
        <v>3.65</v>
      </c>
      <c r="G631" s="4">
        <v>18</v>
      </c>
      <c r="H631" s="8">
        <v>2.5099999999999998</v>
      </c>
      <c r="I631" s="4">
        <v>0</v>
      </c>
    </row>
    <row r="632" spans="1:9" x14ac:dyDescent="0.15">
      <c r="A632" s="2">
        <v>4</v>
      </c>
      <c r="B632" s="1" t="s">
        <v>135</v>
      </c>
      <c r="C632" s="4">
        <v>41</v>
      </c>
      <c r="D632" s="8">
        <v>2.98</v>
      </c>
      <c r="E632" s="4">
        <v>32</v>
      </c>
      <c r="F632" s="8">
        <v>4.8600000000000003</v>
      </c>
      <c r="G632" s="4">
        <v>9</v>
      </c>
      <c r="H632" s="8">
        <v>1.26</v>
      </c>
      <c r="I632" s="4">
        <v>0</v>
      </c>
    </row>
    <row r="633" spans="1:9" x14ac:dyDescent="0.15">
      <c r="A633" s="2">
        <v>5</v>
      </c>
      <c r="B633" s="1" t="s">
        <v>134</v>
      </c>
      <c r="C633" s="4">
        <v>39</v>
      </c>
      <c r="D633" s="8">
        <v>2.84</v>
      </c>
      <c r="E633" s="4">
        <v>9</v>
      </c>
      <c r="F633" s="8">
        <v>1.37</v>
      </c>
      <c r="G633" s="4">
        <v>30</v>
      </c>
      <c r="H633" s="8">
        <v>4.1900000000000004</v>
      </c>
      <c r="I633" s="4">
        <v>0</v>
      </c>
    </row>
    <row r="634" spans="1:9" x14ac:dyDescent="0.15">
      <c r="A634" s="2">
        <v>6</v>
      </c>
      <c r="B634" s="1" t="s">
        <v>143</v>
      </c>
      <c r="C634" s="4">
        <v>38</v>
      </c>
      <c r="D634" s="8">
        <v>2.76</v>
      </c>
      <c r="E634" s="4">
        <v>28</v>
      </c>
      <c r="F634" s="8">
        <v>4.26</v>
      </c>
      <c r="G634" s="4">
        <v>10</v>
      </c>
      <c r="H634" s="8">
        <v>1.4</v>
      </c>
      <c r="I634" s="4">
        <v>0</v>
      </c>
    </row>
    <row r="635" spans="1:9" x14ac:dyDescent="0.15">
      <c r="A635" s="2">
        <v>7</v>
      </c>
      <c r="B635" s="1" t="s">
        <v>140</v>
      </c>
      <c r="C635" s="4">
        <v>34</v>
      </c>
      <c r="D635" s="8">
        <v>2.4700000000000002</v>
      </c>
      <c r="E635" s="4">
        <v>29</v>
      </c>
      <c r="F635" s="8">
        <v>4.41</v>
      </c>
      <c r="G635" s="4">
        <v>5</v>
      </c>
      <c r="H635" s="8">
        <v>0.7</v>
      </c>
      <c r="I635" s="4">
        <v>0</v>
      </c>
    </row>
    <row r="636" spans="1:9" x14ac:dyDescent="0.15">
      <c r="A636" s="2">
        <v>8</v>
      </c>
      <c r="B636" s="1" t="s">
        <v>144</v>
      </c>
      <c r="C636" s="4">
        <v>32</v>
      </c>
      <c r="D636" s="8">
        <v>2.33</v>
      </c>
      <c r="E636" s="4">
        <v>27</v>
      </c>
      <c r="F636" s="8">
        <v>4.0999999999999996</v>
      </c>
      <c r="G636" s="4">
        <v>5</v>
      </c>
      <c r="H636" s="8">
        <v>0.7</v>
      </c>
      <c r="I636" s="4">
        <v>0</v>
      </c>
    </row>
    <row r="637" spans="1:9" x14ac:dyDescent="0.15">
      <c r="A637" s="2">
        <v>9</v>
      </c>
      <c r="B637" s="1" t="s">
        <v>148</v>
      </c>
      <c r="C637" s="4">
        <v>27</v>
      </c>
      <c r="D637" s="8">
        <v>1.96</v>
      </c>
      <c r="E637" s="4">
        <v>25</v>
      </c>
      <c r="F637" s="8">
        <v>3.8</v>
      </c>
      <c r="G637" s="4">
        <v>2</v>
      </c>
      <c r="H637" s="8">
        <v>0.28000000000000003</v>
      </c>
      <c r="I637" s="4">
        <v>0</v>
      </c>
    </row>
    <row r="638" spans="1:9" x14ac:dyDescent="0.15">
      <c r="A638" s="2">
        <v>10</v>
      </c>
      <c r="B638" s="1" t="s">
        <v>130</v>
      </c>
      <c r="C638" s="4">
        <v>26</v>
      </c>
      <c r="D638" s="8">
        <v>1.89</v>
      </c>
      <c r="E638" s="4">
        <v>16</v>
      </c>
      <c r="F638" s="8">
        <v>2.4300000000000002</v>
      </c>
      <c r="G638" s="4">
        <v>10</v>
      </c>
      <c r="H638" s="8">
        <v>1.4</v>
      </c>
      <c r="I638" s="4">
        <v>0</v>
      </c>
    </row>
    <row r="639" spans="1:9" x14ac:dyDescent="0.15">
      <c r="A639" s="2">
        <v>11</v>
      </c>
      <c r="B639" s="1" t="s">
        <v>129</v>
      </c>
      <c r="C639" s="4">
        <v>24</v>
      </c>
      <c r="D639" s="8">
        <v>1.75</v>
      </c>
      <c r="E639" s="4">
        <v>18</v>
      </c>
      <c r="F639" s="8">
        <v>2.74</v>
      </c>
      <c r="G639" s="4">
        <v>6</v>
      </c>
      <c r="H639" s="8">
        <v>0.84</v>
      </c>
      <c r="I639" s="4">
        <v>0</v>
      </c>
    </row>
    <row r="640" spans="1:9" x14ac:dyDescent="0.15">
      <c r="A640" s="2">
        <v>11</v>
      </c>
      <c r="B640" s="1" t="s">
        <v>138</v>
      </c>
      <c r="C640" s="4">
        <v>24</v>
      </c>
      <c r="D640" s="8">
        <v>1.75</v>
      </c>
      <c r="E640" s="4">
        <v>23</v>
      </c>
      <c r="F640" s="8">
        <v>3.5</v>
      </c>
      <c r="G640" s="4">
        <v>1</v>
      </c>
      <c r="H640" s="8">
        <v>0.14000000000000001</v>
      </c>
      <c r="I640" s="4">
        <v>0</v>
      </c>
    </row>
    <row r="641" spans="1:9" x14ac:dyDescent="0.15">
      <c r="A641" s="2">
        <v>11</v>
      </c>
      <c r="B641" s="1" t="s">
        <v>139</v>
      </c>
      <c r="C641" s="4">
        <v>24</v>
      </c>
      <c r="D641" s="8">
        <v>1.75</v>
      </c>
      <c r="E641" s="4">
        <v>10</v>
      </c>
      <c r="F641" s="8">
        <v>1.52</v>
      </c>
      <c r="G641" s="4">
        <v>14</v>
      </c>
      <c r="H641" s="8">
        <v>1.96</v>
      </c>
      <c r="I641" s="4">
        <v>0</v>
      </c>
    </row>
    <row r="642" spans="1:9" x14ac:dyDescent="0.15">
      <c r="A642" s="2">
        <v>14</v>
      </c>
      <c r="B642" s="1" t="s">
        <v>147</v>
      </c>
      <c r="C642" s="4">
        <v>23</v>
      </c>
      <c r="D642" s="8">
        <v>1.67</v>
      </c>
      <c r="E642" s="4">
        <v>1</v>
      </c>
      <c r="F642" s="8">
        <v>0.15</v>
      </c>
      <c r="G642" s="4">
        <v>22</v>
      </c>
      <c r="H642" s="8">
        <v>3.07</v>
      </c>
      <c r="I642" s="4">
        <v>0</v>
      </c>
    </row>
    <row r="643" spans="1:9" x14ac:dyDescent="0.15">
      <c r="A643" s="2">
        <v>15</v>
      </c>
      <c r="B643" s="1" t="s">
        <v>149</v>
      </c>
      <c r="C643" s="4">
        <v>21</v>
      </c>
      <c r="D643" s="8">
        <v>1.53</v>
      </c>
      <c r="E643" s="4">
        <v>2</v>
      </c>
      <c r="F643" s="8">
        <v>0.3</v>
      </c>
      <c r="G643" s="4">
        <v>19</v>
      </c>
      <c r="H643" s="8">
        <v>2.65</v>
      </c>
      <c r="I643" s="4">
        <v>0</v>
      </c>
    </row>
    <row r="644" spans="1:9" x14ac:dyDescent="0.15">
      <c r="A644" s="2">
        <v>15</v>
      </c>
      <c r="B644" s="1" t="s">
        <v>142</v>
      </c>
      <c r="C644" s="4">
        <v>21</v>
      </c>
      <c r="D644" s="8">
        <v>1.53</v>
      </c>
      <c r="E644" s="4">
        <v>13</v>
      </c>
      <c r="F644" s="8">
        <v>1.98</v>
      </c>
      <c r="G644" s="4">
        <v>8</v>
      </c>
      <c r="H644" s="8">
        <v>1.1200000000000001</v>
      </c>
      <c r="I644" s="4">
        <v>0</v>
      </c>
    </row>
    <row r="645" spans="1:9" x14ac:dyDescent="0.15">
      <c r="A645" s="2">
        <v>17</v>
      </c>
      <c r="B645" s="1" t="s">
        <v>166</v>
      </c>
      <c r="C645" s="4">
        <v>20</v>
      </c>
      <c r="D645" s="8">
        <v>1.45</v>
      </c>
      <c r="E645" s="4">
        <v>14</v>
      </c>
      <c r="F645" s="8">
        <v>2.13</v>
      </c>
      <c r="G645" s="4">
        <v>6</v>
      </c>
      <c r="H645" s="8">
        <v>0.84</v>
      </c>
      <c r="I645" s="4">
        <v>0</v>
      </c>
    </row>
    <row r="646" spans="1:9" x14ac:dyDescent="0.15">
      <c r="A646" s="2">
        <v>18</v>
      </c>
      <c r="B646" s="1" t="s">
        <v>127</v>
      </c>
      <c r="C646" s="4">
        <v>18</v>
      </c>
      <c r="D646" s="8">
        <v>1.31</v>
      </c>
      <c r="E646" s="4">
        <v>4</v>
      </c>
      <c r="F646" s="8">
        <v>0.61</v>
      </c>
      <c r="G646" s="4">
        <v>14</v>
      </c>
      <c r="H646" s="8">
        <v>1.96</v>
      </c>
      <c r="I646" s="4">
        <v>0</v>
      </c>
    </row>
    <row r="647" spans="1:9" x14ac:dyDescent="0.15">
      <c r="A647" s="2">
        <v>19</v>
      </c>
      <c r="B647" s="1" t="s">
        <v>126</v>
      </c>
      <c r="C647" s="4">
        <v>16</v>
      </c>
      <c r="D647" s="8">
        <v>1.1599999999999999</v>
      </c>
      <c r="E647" s="4">
        <v>1</v>
      </c>
      <c r="F647" s="8">
        <v>0.15</v>
      </c>
      <c r="G647" s="4">
        <v>15</v>
      </c>
      <c r="H647" s="8">
        <v>2.09</v>
      </c>
      <c r="I647" s="4">
        <v>0</v>
      </c>
    </row>
    <row r="648" spans="1:9" x14ac:dyDescent="0.15">
      <c r="A648" s="2">
        <v>19</v>
      </c>
      <c r="B648" s="1" t="s">
        <v>153</v>
      </c>
      <c r="C648" s="4">
        <v>16</v>
      </c>
      <c r="D648" s="8">
        <v>1.1599999999999999</v>
      </c>
      <c r="E648" s="4">
        <v>5</v>
      </c>
      <c r="F648" s="8">
        <v>0.76</v>
      </c>
      <c r="G648" s="4">
        <v>11</v>
      </c>
      <c r="H648" s="8">
        <v>1.54</v>
      </c>
      <c r="I648" s="4">
        <v>0</v>
      </c>
    </row>
    <row r="649" spans="1:9" x14ac:dyDescent="0.15">
      <c r="A649" s="2">
        <v>19</v>
      </c>
      <c r="B649" s="1" t="s">
        <v>179</v>
      </c>
      <c r="C649" s="4">
        <v>16</v>
      </c>
      <c r="D649" s="8">
        <v>1.1599999999999999</v>
      </c>
      <c r="E649" s="4">
        <v>10</v>
      </c>
      <c r="F649" s="8">
        <v>1.52</v>
      </c>
      <c r="G649" s="4">
        <v>6</v>
      </c>
      <c r="H649" s="8">
        <v>0.84</v>
      </c>
      <c r="I649" s="4">
        <v>0</v>
      </c>
    </row>
    <row r="650" spans="1:9" x14ac:dyDescent="0.15">
      <c r="A650" s="2">
        <v>19</v>
      </c>
      <c r="B650" s="1" t="s">
        <v>180</v>
      </c>
      <c r="C650" s="4">
        <v>16</v>
      </c>
      <c r="D650" s="8">
        <v>1.1599999999999999</v>
      </c>
      <c r="E650" s="4">
        <v>16</v>
      </c>
      <c r="F650" s="8">
        <v>2.4300000000000002</v>
      </c>
      <c r="G650" s="4">
        <v>0</v>
      </c>
      <c r="H650" s="8">
        <v>0</v>
      </c>
      <c r="I650" s="4">
        <v>0</v>
      </c>
    </row>
    <row r="651" spans="1:9" x14ac:dyDescent="0.15">
      <c r="A651" s="1"/>
      <c r="C651" s="4"/>
      <c r="D651" s="8"/>
      <c r="E651" s="4"/>
      <c r="F651" s="8"/>
      <c r="G651" s="4"/>
      <c r="H651" s="8"/>
      <c r="I651" s="4"/>
    </row>
    <row r="652" spans="1:9" x14ac:dyDescent="0.15">
      <c r="A652" s="1" t="s">
        <v>29</v>
      </c>
      <c r="C652" s="4"/>
      <c r="D652" s="8"/>
      <c r="E652" s="4"/>
      <c r="F652" s="8"/>
      <c r="G652" s="4"/>
      <c r="H652" s="8"/>
      <c r="I652" s="4"/>
    </row>
    <row r="653" spans="1:9" x14ac:dyDescent="0.15">
      <c r="A653" s="2">
        <v>1</v>
      </c>
      <c r="B653" s="1" t="s">
        <v>125</v>
      </c>
      <c r="C653" s="4">
        <v>40</v>
      </c>
      <c r="D653" s="8">
        <v>3.5</v>
      </c>
      <c r="E653" s="4">
        <v>14</v>
      </c>
      <c r="F653" s="8">
        <v>2.16</v>
      </c>
      <c r="G653" s="4">
        <v>26</v>
      </c>
      <c r="H653" s="8">
        <v>5.25</v>
      </c>
      <c r="I653" s="4">
        <v>0</v>
      </c>
    </row>
    <row r="654" spans="1:9" x14ac:dyDescent="0.15">
      <c r="A654" s="2">
        <v>2</v>
      </c>
      <c r="B654" s="1" t="s">
        <v>141</v>
      </c>
      <c r="C654" s="4">
        <v>39</v>
      </c>
      <c r="D654" s="8">
        <v>3.42</v>
      </c>
      <c r="E654" s="4">
        <v>33</v>
      </c>
      <c r="F654" s="8">
        <v>5.0999999999999996</v>
      </c>
      <c r="G654" s="4">
        <v>6</v>
      </c>
      <c r="H654" s="8">
        <v>1.21</v>
      </c>
      <c r="I654" s="4">
        <v>0</v>
      </c>
    </row>
    <row r="655" spans="1:9" x14ac:dyDescent="0.15">
      <c r="A655" s="2">
        <v>3</v>
      </c>
      <c r="B655" s="1" t="s">
        <v>140</v>
      </c>
      <c r="C655" s="4">
        <v>34</v>
      </c>
      <c r="D655" s="8">
        <v>2.98</v>
      </c>
      <c r="E655" s="4">
        <v>32</v>
      </c>
      <c r="F655" s="8">
        <v>4.95</v>
      </c>
      <c r="G655" s="4">
        <v>2</v>
      </c>
      <c r="H655" s="8">
        <v>0.4</v>
      </c>
      <c r="I655" s="4">
        <v>0</v>
      </c>
    </row>
    <row r="656" spans="1:9" x14ac:dyDescent="0.15">
      <c r="A656" s="2">
        <v>4</v>
      </c>
      <c r="B656" s="1" t="s">
        <v>138</v>
      </c>
      <c r="C656" s="4">
        <v>29</v>
      </c>
      <c r="D656" s="8">
        <v>2.54</v>
      </c>
      <c r="E656" s="4">
        <v>28</v>
      </c>
      <c r="F656" s="8">
        <v>4.33</v>
      </c>
      <c r="G656" s="4">
        <v>1</v>
      </c>
      <c r="H656" s="8">
        <v>0.2</v>
      </c>
      <c r="I656" s="4">
        <v>0</v>
      </c>
    </row>
    <row r="657" spans="1:9" x14ac:dyDescent="0.15">
      <c r="A657" s="2">
        <v>5</v>
      </c>
      <c r="B657" s="1" t="s">
        <v>127</v>
      </c>
      <c r="C657" s="4">
        <v>27</v>
      </c>
      <c r="D657" s="8">
        <v>2.36</v>
      </c>
      <c r="E657" s="4">
        <v>15</v>
      </c>
      <c r="F657" s="8">
        <v>2.3199999999999998</v>
      </c>
      <c r="G657" s="4">
        <v>12</v>
      </c>
      <c r="H657" s="8">
        <v>2.42</v>
      </c>
      <c r="I657" s="4">
        <v>0</v>
      </c>
    </row>
    <row r="658" spans="1:9" x14ac:dyDescent="0.15">
      <c r="A658" s="2">
        <v>6</v>
      </c>
      <c r="B658" s="1" t="s">
        <v>177</v>
      </c>
      <c r="C658" s="4">
        <v>26</v>
      </c>
      <c r="D658" s="8">
        <v>2.2799999999999998</v>
      </c>
      <c r="E658" s="4">
        <v>17</v>
      </c>
      <c r="F658" s="8">
        <v>2.63</v>
      </c>
      <c r="G658" s="4">
        <v>9</v>
      </c>
      <c r="H658" s="8">
        <v>1.82</v>
      </c>
      <c r="I658" s="4">
        <v>0</v>
      </c>
    </row>
    <row r="659" spans="1:9" x14ac:dyDescent="0.15">
      <c r="A659" s="2">
        <v>7</v>
      </c>
      <c r="B659" s="1" t="s">
        <v>130</v>
      </c>
      <c r="C659" s="4">
        <v>25</v>
      </c>
      <c r="D659" s="8">
        <v>2.19</v>
      </c>
      <c r="E659" s="4">
        <v>18</v>
      </c>
      <c r="F659" s="8">
        <v>2.78</v>
      </c>
      <c r="G659" s="4">
        <v>7</v>
      </c>
      <c r="H659" s="8">
        <v>1.41</v>
      </c>
      <c r="I659" s="4">
        <v>0</v>
      </c>
    </row>
    <row r="660" spans="1:9" x14ac:dyDescent="0.15">
      <c r="A660" s="2">
        <v>8</v>
      </c>
      <c r="B660" s="1" t="s">
        <v>184</v>
      </c>
      <c r="C660" s="4">
        <v>23</v>
      </c>
      <c r="D660" s="8">
        <v>2.0099999999999998</v>
      </c>
      <c r="E660" s="4">
        <v>17</v>
      </c>
      <c r="F660" s="8">
        <v>2.63</v>
      </c>
      <c r="G660" s="4">
        <v>6</v>
      </c>
      <c r="H660" s="8">
        <v>1.21</v>
      </c>
      <c r="I660" s="4">
        <v>0</v>
      </c>
    </row>
    <row r="661" spans="1:9" x14ac:dyDescent="0.15">
      <c r="A661" s="2">
        <v>9</v>
      </c>
      <c r="B661" s="1" t="s">
        <v>187</v>
      </c>
      <c r="C661" s="4">
        <v>22</v>
      </c>
      <c r="D661" s="8">
        <v>1.93</v>
      </c>
      <c r="E661" s="4">
        <v>11</v>
      </c>
      <c r="F661" s="8">
        <v>1.7</v>
      </c>
      <c r="G661" s="4">
        <v>11</v>
      </c>
      <c r="H661" s="8">
        <v>2.2200000000000002</v>
      </c>
      <c r="I661" s="4">
        <v>0</v>
      </c>
    </row>
    <row r="662" spans="1:9" x14ac:dyDescent="0.15">
      <c r="A662" s="2">
        <v>10</v>
      </c>
      <c r="B662" s="1" t="s">
        <v>132</v>
      </c>
      <c r="C662" s="4">
        <v>21</v>
      </c>
      <c r="D662" s="8">
        <v>1.84</v>
      </c>
      <c r="E662" s="4">
        <v>13</v>
      </c>
      <c r="F662" s="8">
        <v>2.0099999999999998</v>
      </c>
      <c r="G662" s="4">
        <v>8</v>
      </c>
      <c r="H662" s="8">
        <v>1.62</v>
      </c>
      <c r="I662" s="4">
        <v>0</v>
      </c>
    </row>
    <row r="663" spans="1:9" x14ac:dyDescent="0.15">
      <c r="A663" s="2">
        <v>11</v>
      </c>
      <c r="B663" s="1" t="s">
        <v>131</v>
      </c>
      <c r="C663" s="4">
        <v>20</v>
      </c>
      <c r="D663" s="8">
        <v>1.75</v>
      </c>
      <c r="E663" s="4">
        <v>9</v>
      </c>
      <c r="F663" s="8">
        <v>1.39</v>
      </c>
      <c r="G663" s="4">
        <v>11</v>
      </c>
      <c r="H663" s="8">
        <v>2.2200000000000002</v>
      </c>
      <c r="I663" s="4">
        <v>0</v>
      </c>
    </row>
    <row r="664" spans="1:9" x14ac:dyDescent="0.15">
      <c r="A664" s="2">
        <v>12</v>
      </c>
      <c r="B664" s="1" t="s">
        <v>183</v>
      </c>
      <c r="C664" s="4">
        <v>19</v>
      </c>
      <c r="D664" s="8">
        <v>1.66</v>
      </c>
      <c r="E664" s="4">
        <v>9</v>
      </c>
      <c r="F664" s="8">
        <v>1.39</v>
      </c>
      <c r="G664" s="4">
        <v>10</v>
      </c>
      <c r="H664" s="8">
        <v>2.02</v>
      </c>
      <c r="I664" s="4">
        <v>0</v>
      </c>
    </row>
    <row r="665" spans="1:9" x14ac:dyDescent="0.15">
      <c r="A665" s="2">
        <v>13</v>
      </c>
      <c r="B665" s="1" t="s">
        <v>181</v>
      </c>
      <c r="C665" s="4">
        <v>17</v>
      </c>
      <c r="D665" s="8">
        <v>1.49</v>
      </c>
      <c r="E665" s="4">
        <v>16</v>
      </c>
      <c r="F665" s="8">
        <v>2.4700000000000002</v>
      </c>
      <c r="G665" s="4">
        <v>1</v>
      </c>
      <c r="H665" s="8">
        <v>0.2</v>
      </c>
      <c r="I665" s="4">
        <v>0</v>
      </c>
    </row>
    <row r="666" spans="1:9" x14ac:dyDescent="0.15">
      <c r="A666" s="2">
        <v>13</v>
      </c>
      <c r="B666" s="1" t="s">
        <v>185</v>
      </c>
      <c r="C666" s="4">
        <v>17</v>
      </c>
      <c r="D666" s="8">
        <v>1.49</v>
      </c>
      <c r="E666" s="4">
        <v>9</v>
      </c>
      <c r="F666" s="8">
        <v>1.39</v>
      </c>
      <c r="G666" s="4">
        <v>8</v>
      </c>
      <c r="H666" s="8">
        <v>1.62</v>
      </c>
      <c r="I666" s="4">
        <v>0</v>
      </c>
    </row>
    <row r="667" spans="1:9" x14ac:dyDescent="0.15">
      <c r="A667" s="2">
        <v>13</v>
      </c>
      <c r="B667" s="1" t="s">
        <v>186</v>
      </c>
      <c r="C667" s="4">
        <v>17</v>
      </c>
      <c r="D667" s="8">
        <v>1.49</v>
      </c>
      <c r="E667" s="4">
        <v>8</v>
      </c>
      <c r="F667" s="8">
        <v>1.24</v>
      </c>
      <c r="G667" s="4">
        <v>9</v>
      </c>
      <c r="H667" s="8">
        <v>1.82</v>
      </c>
      <c r="I667" s="4">
        <v>0</v>
      </c>
    </row>
    <row r="668" spans="1:9" x14ac:dyDescent="0.15">
      <c r="A668" s="2">
        <v>13</v>
      </c>
      <c r="B668" s="1" t="s">
        <v>139</v>
      </c>
      <c r="C668" s="4">
        <v>17</v>
      </c>
      <c r="D668" s="8">
        <v>1.49</v>
      </c>
      <c r="E668" s="4">
        <v>12</v>
      </c>
      <c r="F668" s="8">
        <v>1.85</v>
      </c>
      <c r="G668" s="4">
        <v>5</v>
      </c>
      <c r="H668" s="8">
        <v>1.01</v>
      </c>
      <c r="I668" s="4">
        <v>0</v>
      </c>
    </row>
    <row r="669" spans="1:9" x14ac:dyDescent="0.15">
      <c r="A669" s="2">
        <v>17</v>
      </c>
      <c r="B669" s="1" t="s">
        <v>182</v>
      </c>
      <c r="C669" s="4">
        <v>16</v>
      </c>
      <c r="D669" s="8">
        <v>1.4</v>
      </c>
      <c r="E669" s="4">
        <v>9</v>
      </c>
      <c r="F669" s="8">
        <v>1.39</v>
      </c>
      <c r="G669" s="4">
        <v>7</v>
      </c>
      <c r="H669" s="8">
        <v>1.41</v>
      </c>
      <c r="I669" s="4">
        <v>0</v>
      </c>
    </row>
    <row r="670" spans="1:9" x14ac:dyDescent="0.15">
      <c r="A670" s="2">
        <v>18</v>
      </c>
      <c r="B670" s="1" t="s">
        <v>128</v>
      </c>
      <c r="C670" s="4">
        <v>15</v>
      </c>
      <c r="D670" s="8">
        <v>1.31</v>
      </c>
      <c r="E670" s="4">
        <v>5</v>
      </c>
      <c r="F670" s="8">
        <v>0.77</v>
      </c>
      <c r="G670" s="4">
        <v>10</v>
      </c>
      <c r="H670" s="8">
        <v>2.02</v>
      </c>
      <c r="I670" s="4">
        <v>0</v>
      </c>
    </row>
    <row r="671" spans="1:9" x14ac:dyDescent="0.15">
      <c r="A671" s="2">
        <v>18</v>
      </c>
      <c r="B671" s="1" t="s">
        <v>129</v>
      </c>
      <c r="C671" s="4">
        <v>15</v>
      </c>
      <c r="D671" s="8">
        <v>1.31</v>
      </c>
      <c r="E671" s="4">
        <v>13</v>
      </c>
      <c r="F671" s="8">
        <v>2.0099999999999998</v>
      </c>
      <c r="G671" s="4">
        <v>2</v>
      </c>
      <c r="H671" s="8">
        <v>0.4</v>
      </c>
      <c r="I671" s="4">
        <v>0</v>
      </c>
    </row>
    <row r="672" spans="1:9" x14ac:dyDescent="0.15">
      <c r="A672" s="2">
        <v>18</v>
      </c>
      <c r="B672" s="1" t="s">
        <v>166</v>
      </c>
      <c r="C672" s="4">
        <v>15</v>
      </c>
      <c r="D672" s="8">
        <v>1.31</v>
      </c>
      <c r="E672" s="4">
        <v>14</v>
      </c>
      <c r="F672" s="8">
        <v>2.16</v>
      </c>
      <c r="G672" s="4">
        <v>1</v>
      </c>
      <c r="H672" s="8">
        <v>0.2</v>
      </c>
      <c r="I672" s="4">
        <v>0</v>
      </c>
    </row>
    <row r="673" spans="1:9" x14ac:dyDescent="0.15">
      <c r="A673" s="1"/>
      <c r="C673" s="4"/>
      <c r="D673" s="8"/>
      <c r="E673" s="4"/>
      <c r="F673" s="8"/>
      <c r="G673" s="4"/>
      <c r="H673" s="8"/>
      <c r="I673" s="4"/>
    </row>
    <row r="674" spans="1:9" x14ac:dyDescent="0.15">
      <c r="A674" s="1" t="s">
        <v>30</v>
      </c>
      <c r="C674" s="4"/>
      <c r="D674" s="8"/>
      <c r="E674" s="4"/>
      <c r="F674" s="8"/>
      <c r="G674" s="4"/>
      <c r="H674" s="8"/>
      <c r="I674" s="4"/>
    </row>
    <row r="675" spans="1:9" x14ac:dyDescent="0.15">
      <c r="A675" s="2">
        <v>1</v>
      </c>
      <c r="B675" s="1" t="s">
        <v>189</v>
      </c>
      <c r="C675" s="4">
        <v>53</v>
      </c>
      <c r="D675" s="8">
        <v>4.62</v>
      </c>
      <c r="E675" s="4">
        <v>52</v>
      </c>
      <c r="F675" s="8">
        <v>6.44</v>
      </c>
      <c r="G675" s="4">
        <v>1</v>
      </c>
      <c r="H675" s="8">
        <v>0.3</v>
      </c>
      <c r="I675" s="4">
        <v>0</v>
      </c>
    </row>
    <row r="676" spans="1:9" x14ac:dyDescent="0.15">
      <c r="A676" s="2">
        <v>2</v>
      </c>
      <c r="B676" s="1" t="s">
        <v>141</v>
      </c>
      <c r="C676" s="4">
        <v>46</v>
      </c>
      <c r="D676" s="8">
        <v>4.01</v>
      </c>
      <c r="E676" s="4">
        <v>42</v>
      </c>
      <c r="F676" s="8">
        <v>5.2</v>
      </c>
      <c r="G676" s="4">
        <v>4</v>
      </c>
      <c r="H676" s="8">
        <v>1.19</v>
      </c>
      <c r="I676" s="4">
        <v>0</v>
      </c>
    </row>
    <row r="677" spans="1:9" x14ac:dyDescent="0.15">
      <c r="A677" s="2">
        <v>3</v>
      </c>
      <c r="B677" s="1" t="s">
        <v>125</v>
      </c>
      <c r="C677" s="4">
        <v>41</v>
      </c>
      <c r="D677" s="8">
        <v>3.57</v>
      </c>
      <c r="E677" s="4">
        <v>17</v>
      </c>
      <c r="F677" s="8">
        <v>2.11</v>
      </c>
      <c r="G677" s="4">
        <v>24</v>
      </c>
      <c r="H677" s="8">
        <v>7.12</v>
      </c>
      <c r="I677" s="4">
        <v>0</v>
      </c>
    </row>
    <row r="678" spans="1:9" x14ac:dyDescent="0.15">
      <c r="A678" s="2">
        <v>4</v>
      </c>
      <c r="B678" s="1" t="s">
        <v>167</v>
      </c>
      <c r="C678" s="4">
        <v>39</v>
      </c>
      <c r="D678" s="8">
        <v>3.4</v>
      </c>
      <c r="E678" s="4">
        <v>32</v>
      </c>
      <c r="F678" s="8">
        <v>3.97</v>
      </c>
      <c r="G678" s="4">
        <v>7</v>
      </c>
      <c r="H678" s="8">
        <v>2.08</v>
      </c>
      <c r="I678" s="4">
        <v>0</v>
      </c>
    </row>
    <row r="679" spans="1:9" x14ac:dyDescent="0.15">
      <c r="A679" s="2">
        <v>5</v>
      </c>
      <c r="B679" s="1" t="s">
        <v>138</v>
      </c>
      <c r="C679" s="4">
        <v>38</v>
      </c>
      <c r="D679" s="8">
        <v>3.31</v>
      </c>
      <c r="E679" s="4">
        <v>37</v>
      </c>
      <c r="F679" s="8">
        <v>4.58</v>
      </c>
      <c r="G679" s="4">
        <v>1</v>
      </c>
      <c r="H679" s="8">
        <v>0.3</v>
      </c>
      <c r="I679" s="4">
        <v>0</v>
      </c>
    </row>
    <row r="680" spans="1:9" x14ac:dyDescent="0.15">
      <c r="A680" s="2">
        <v>6</v>
      </c>
      <c r="B680" s="1" t="s">
        <v>132</v>
      </c>
      <c r="C680" s="4">
        <v>34</v>
      </c>
      <c r="D680" s="8">
        <v>2.96</v>
      </c>
      <c r="E680" s="4">
        <v>27</v>
      </c>
      <c r="F680" s="8">
        <v>3.35</v>
      </c>
      <c r="G680" s="4">
        <v>7</v>
      </c>
      <c r="H680" s="8">
        <v>2.08</v>
      </c>
      <c r="I680" s="4">
        <v>0</v>
      </c>
    </row>
    <row r="681" spans="1:9" x14ac:dyDescent="0.15">
      <c r="A681" s="2">
        <v>7</v>
      </c>
      <c r="B681" s="1" t="s">
        <v>140</v>
      </c>
      <c r="C681" s="4">
        <v>31</v>
      </c>
      <c r="D681" s="8">
        <v>2.7</v>
      </c>
      <c r="E681" s="4">
        <v>31</v>
      </c>
      <c r="F681" s="8">
        <v>3.84</v>
      </c>
      <c r="G681" s="4">
        <v>0</v>
      </c>
      <c r="H681" s="8">
        <v>0</v>
      </c>
      <c r="I681" s="4">
        <v>0</v>
      </c>
    </row>
    <row r="682" spans="1:9" x14ac:dyDescent="0.15">
      <c r="A682" s="2">
        <v>8</v>
      </c>
      <c r="B682" s="1" t="s">
        <v>146</v>
      </c>
      <c r="C682" s="4">
        <v>28</v>
      </c>
      <c r="D682" s="8">
        <v>2.44</v>
      </c>
      <c r="E682" s="4">
        <v>22</v>
      </c>
      <c r="F682" s="8">
        <v>2.73</v>
      </c>
      <c r="G682" s="4">
        <v>6</v>
      </c>
      <c r="H682" s="8">
        <v>1.78</v>
      </c>
      <c r="I682" s="4">
        <v>0</v>
      </c>
    </row>
    <row r="683" spans="1:9" x14ac:dyDescent="0.15">
      <c r="A683" s="2">
        <v>9</v>
      </c>
      <c r="B683" s="1" t="s">
        <v>134</v>
      </c>
      <c r="C683" s="4">
        <v>26</v>
      </c>
      <c r="D683" s="8">
        <v>2.27</v>
      </c>
      <c r="E683" s="4">
        <v>24</v>
      </c>
      <c r="F683" s="8">
        <v>2.97</v>
      </c>
      <c r="G683" s="4">
        <v>2</v>
      </c>
      <c r="H683" s="8">
        <v>0.59</v>
      </c>
      <c r="I683" s="4">
        <v>0</v>
      </c>
    </row>
    <row r="684" spans="1:9" x14ac:dyDescent="0.15">
      <c r="A684" s="2">
        <v>10</v>
      </c>
      <c r="B684" s="1" t="s">
        <v>126</v>
      </c>
      <c r="C684" s="4">
        <v>24</v>
      </c>
      <c r="D684" s="8">
        <v>2.09</v>
      </c>
      <c r="E684" s="4">
        <v>10</v>
      </c>
      <c r="F684" s="8">
        <v>1.24</v>
      </c>
      <c r="G684" s="4">
        <v>14</v>
      </c>
      <c r="H684" s="8">
        <v>4.1500000000000004</v>
      </c>
      <c r="I684" s="4">
        <v>0</v>
      </c>
    </row>
    <row r="685" spans="1:9" x14ac:dyDescent="0.15">
      <c r="A685" s="2">
        <v>11</v>
      </c>
      <c r="B685" s="1" t="s">
        <v>129</v>
      </c>
      <c r="C685" s="4">
        <v>23</v>
      </c>
      <c r="D685" s="8">
        <v>2.0099999999999998</v>
      </c>
      <c r="E685" s="4">
        <v>18</v>
      </c>
      <c r="F685" s="8">
        <v>2.23</v>
      </c>
      <c r="G685" s="4">
        <v>5</v>
      </c>
      <c r="H685" s="8">
        <v>1.48</v>
      </c>
      <c r="I685" s="4">
        <v>0</v>
      </c>
    </row>
    <row r="686" spans="1:9" x14ac:dyDescent="0.15">
      <c r="A686" s="2">
        <v>11</v>
      </c>
      <c r="B686" s="1" t="s">
        <v>135</v>
      </c>
      <c r="C686" s="4">
        <v>23</v>
      </c>
      <c r="D686" s="8">
        <v>2.0099999999999998</v>
      </c>
      <c r="E686" s="4">
        <v>21</v>
      </c>
      <c r="F686" s="8">
        <v>2.6</v>
      </c>
      <c r="G686" s="4">
        <v>2</v>
      </c>
      <c r="H686" s="8">
        <v>0.59</v>
      </c>
      <c r="I686" s="4">
        <v>0</v>
      </c>
    </row>
    <row r="687" spans="1:9" x14ac:dyDescent="0.15">
      <c r="A687" s="2">
        <v>13</v>
      </c>
      <c r="B687" s="1" t="s">
        <v>188</v>
      </c>
      <c r="C687" s="4">
        <v>21</v>
      </c>
      <c r="D687" s="8">
        <v>1.83</v>
      </c>
      <c r="E687" s="4">
        <v>21</v>
      </c>
      <c r="F687" s="8">
        <v>2.6</v>
      </c>
      <c r="G687" s="4">
        <v>0</v>
      </c>
      <c r="H687" s="8">
        <v>0</v>
      </c>
      <c r="I687" s="4">
        <v>0</v>
      </c>
    </row>
    <row r="688" spans="1:9" x14ac:dyDescent="0.15">
      <c r="A688" s="2">
        <v>13</v>
      </c>
      <c r="B688" s="1" t="s">
        <v>127</v>
      </c>
      <c r="C688" s="4">
        <v>21</v>
      </c>
      <c r="D688" s="8">
        <v>1.83</v>
      </c>
      <c r="E688" s="4">
        <v>19</v>
      </c>
      <c r="F688" s="8">
        <v>2.35</v>
      </c>
      <c r="G688" s="4">
        <v>2</v>
      </c>
      <c r="H688" s="8">
        <v>0.59</v>
      </c>
      <c r="I688" s="4">
        <v>0</v>
      </c>
    </row>
    <row r="689" spans="1:9" x14ac:dyDescent="0.15">
      <c r="A689" s="2">
        <v>15</v>
      </c>
      <c r="B689" s="1" t="s">
        <v>130</v>
      </c>
      <c r="C689" s="4">
        <v>20</v>
      </c>
      <c r="D689" s="8">
        <v>1.74</v>
      </c>
      <c r="E689" s="4">
        <v>14</v>
      </c>
      <c r="F689" s="8">
        <v>1.73</v>
      </c>
      <c r="G689" s="4">
        <v>6</v>
      </c>
      <c r="H689" s="8">
        <v>1.78</v>
      </c>
      <c r="I689" s="4">
        <v>0</v>
      </c>
    </row>
    <row r="690" spans="1:9" x14ac:dyDescent="0.15">
      <c r="A690" s="2">
        <v>16</v>
      </c>
      <c r="B690" s="1" t="s">
        <v>160</v>
      </c>
      <c r="C690" s="4">
        <v>18</v>
      </c>
      <c r="D690" s="8">
        <v>1.57</v>
      </c>
      <c r="E690" s="4">
        <v>13</v>
      </c>
      <c r="F690" s="8">
        <v>1.61</v>
      </c>
      <c r="G690" s="4">
        <v>5</v>
      </c>
      <c r="H690" s="8">
        <v>1.48</v>
      </c>
      <c r="I690" s="4">
        <v>0</v>
      </c>
    </row>
    <row r="691" spans="1:9" x14ac:dyDescent="0.15">
      <c r="A691" s="2">
        <v>17</v>
      </c>
      <c r="B691" s="1" t="s">
        <v>179</v>
      </c>
      <c r="C691" s="4">
        <v>17</v>
      </c>
      <c r="D691" s="8">
        <v>1.48</v>
      </c>
      <c r="E691" s="4">
        <v>14</v>
      </c>
      <c r="F691" s="8">
        <v>1.73</v>
      </c>
      <c r="G691" s="4">
        <v>3</v>
      </c>
      <c r="H691" s="8">
        <v>0.89</v>
      </c>
      <c r="I691" s="4">
        <v>0</v>
      </c>
    </row>
    <row r="692" spans="1:9" x14ac:dyDescent="0.15">
      <c r="A692" s="2">
        <v>18</v>
      </c>
      <c r="B692" s="1" t="s">
        <v>143</v>
      </c>
      <c r="C692" s="4">
        <v>16</v>
      </c>
      <c r="D692" s="8">
        <v>1.39</v>
      </c>
      <c r="E692" s="4">
        <v>13</v>
      </c>
      <c r="F692" s="8">
        <v>1.61</v>
      </c>
      <c r="G692" s="4">
        <v>2</v>
      </c>
      <c r="H692" s="8">
        <v>0.59</v>
      </c>
      <c r="I692" s="4">
        <v>1</v>
      </c>
    </row>
    <row r="693" spans="1:9" x14ac:dyDescent="0.15">
      <c r="A693" s="2">
        <v>19</v>
      </c>
      <c r="B693" s="1" t="s">
        <v>172</v>
      </c>
      <c r="C693" s="4">
        <v>15</v>
      </c>
      <c r="D693" s="8">
        <v>1.31</v>
      </c>
      <c r="E693" s="4">
        <v>8</v>
      </c>
      <c r="F693" s="8">
        <v>0.99</v>
      </c>
      <c r="G693" s="4">
        <v>7</v>
      </c>
      <c r="H693" s="8">
        <v>2.08</v>
      </c>
      <c r="I693" s="4">
        <v>0</v>
      </c>
    </row>
    <row r="694" spans="1:9" x14ac:dyDescent="0.15">
      <c r="A694" s="2">
        <v>19</v>
      </c>
      <c r="B694" s="1" t="s">
        <v>142</v>
      </c>
      <c r="C694" s="4">
        <v>15</v>
      </c>
      <c r="D694" s="8">
        <v>1.31</v>
      </c>
      <c r="E694" s="4">
        <v>11</v>
      </c>
      <c r="F694" s="8">
        <v>1.36</v>
      </c>
      <c r="G694" s="4">
        <v>4</v>
      </c>
      <c r="H694" s="8">
        <v>1.19</v>
      </c>
      <c r="I694" s="4">
        <v>0</v>
      </c>
    </row>
    <row r="695" spans="1:9" x14ac:dyDescent="0.15">
      <c r="A695" s="1"/>
      <c r="C695" s="4"/>
      <c r="D695" s="8"/>
      <c r="E695" s="4"/>
      <c r="F695" s="8"/>
      <c r="G695" s="4"/>
      <c r="H695" s="8"/>
      <c r="I695" s="4"/>
    </row>
    <row r="696" spans="1:9" x14ac:dyDescent="0.15">
      <c r="A696" s="1" t="s">
        <v>31</v>
      </c>
      <c r="C696" s="4"/>
      <c r="D696" s="8"/>
      <c r="E696" s="4"/>
      <c r="F696" s="8"/>
      <c r="G696" s="4"/>
      <c r="H696" s="8"/>
      <c r="I696" s="4"/>
    </row>
    <row r="697" spans="1:9" x14ac:dyDescent="0.15">
      <c r="A697" s="2">
        <v>1</v>
      </c>
      <c r="B697" s="1" t="s">
        <v>170</v>
      </c>
      <c r="C697" s="4">
        <v>48</v>
      </c>
      <c r="D697" s="8">
        <v>5.83</v>
      </c>
      <c r="E697" s="4">
        <v>38</v>
      </c>
      <c r="F697" s="8">
        <v>6.62</v>
      </c>
      <c r="G697" s="4">
        <v>10</v>
      </c>
      <c r="H697" s="8">
        <v>4.08</v>
      </c>
      <c r="I697" s="4">
        <v>0</v>
      </c>
    </row>
    <row r="698" spans="1:9" x14ac:dyDescent="0.15">
      <c r="A698" s="2">
        <v>2</v>
      </c>
      <c r="B698" s="1" t="s">
        <v>125</v>
      </c>
      <c r="C698" s="4">
        <v>38</v>
      </c>
      <c r="D698" s="8">
        <v>4.6100000000000003</v>
      </c>
      <c r="E698" s="4">
        <v>14</v>
      </c>
      <c r="F698" s="8">
        <v>2.44</v>
      </c>
      <c r="G698" s="4">
        <v>24</v>
      </c>
      <c r="H698" s="8">
        <v>9.8000000000000007</v>
      </c>
      <c r="I698" s="4">
        <v>0</v>
      </c>
    </row>
    <row r="699" spans="1:9" x14ac:dyDescent="0.15">
      <c r="A699" s="2">
        <v>3</v>
      </c>
      <c r="B699" s="1" t="s">
        <v>141</v>
      </c>
      <c r="C699" s="4">
        <v>37</v>
      </c>
      <c r="D699" s="8">
        <v>4.49</v>
      </c>
      <c r="E699" s="4">
        <v>36</v>
      </c>
      <c r="F699" s="8">
        <v>6.27</v>
      </c>
      <c r="G699" s="4">
        <v>1</v>
      </c>
      <c r="H699" s="8">
        <v>0.41</v>
      </c>
      <c r="I699" s="4">
        <v>0</v>
      </c>
    </row>
    <row r="700" spans="1:9" x14ac:dyDescent="0.15">
      <c r="A700" s="2">
        <v>4</v>
      </c>
      <c r="B700" s="1" t="s">
        <v>132</v>
      </c>
      <c r="C700" s="4">
        <v>24</v>
      </c>
      <c r="D700" s="8">
        <v>2.91</v>
      </c>
      <c r="E700" s="4">
        <v>15</v>
      </c>
      <c r="F700" s="8">
        <v>2.61</v>
      </c>
      <c r="G700" s="4">
        <v>9</v>
      </c>
      <c r="H700" s="8">
        <v>3.67</v>
      </c>
      <c r="I700" s="4">
        <v>0</v>
      </c>
    </row>
    <row r="701" spans="1:9" x14ac:dyDescent="0.15">
      <c r="A701" s="2">
        <v>5</v>
      </c>
      <c r="B701" s="1" t="s">
        <v>140</v>
      </c>
      <c r="C701" s="4">
        <v>22</v>
      </c>
      <c r="D701" s="8">
        <v>2.67</v>
      </c>
      <c r="E701" s="4">
        <v>22</v>
      </c>
      <c r="F701" s="8">
        <v>3.83</v>
      </c>
      <c r="G701" s="4">
        <v>0</v>
      </c>
      <c r="H701" s="8">
        <v>0</v>
      </c>
      <c r="I701" s="4">
        <v>0</v>
      </c>
    </row>
    <row r="702" spans="1:9" x14ac:dyDescent="0.15">
      <c r="A702" s="2">
        <v>6</v>
      </c>
      <c r="B702" s="1" t="s">
        <v>130</v>
      </c>
      <c r="C702" s="4">
        <v>20</v>
      </c>
      <c r="D702" s="8">
        <v>2.4300000000000002</v>
      </c>
      <c r="E702" s="4">
        <v>16</v>
      </c>
      <c r="F702" s="8">
        <v>2.79</v>
      </c>
      <c r="G702" s="4">
        <v>4</v>
      </c>
      <c r="H702" s="8">
        <v>1.63</v>
      </c>
      <c r="I702" s="4">
        <v>0</v>
      </c>
    </row>
    <row r="703" spans="1:9" x14ac:dyDescent="0.15">
      <c r="A703" s="2">
        <v>7</v>
      </c>
      <c r="B703" s="1" t="s">
        <v>167</v>
      </c>
      <c r="C703" s="4">
        <v>19</v>
      </c>
      <c r="D703" s="8">
        <v>2.31</v>
      </c>
      <c r="E703" s="4">
        <v>17</v>
      </c>
      <c r="F703" s="8">
        <v>2.96</v>
      </c>
      <c r="G703" s="4">
        <v>2</v>
      </c>
      <c r="H703" s="8">
        <v>0.82</v>
      </c>
      <c r="I703" s="4">
        <v>0</v>
      </c>
    </row>
    <row r="704" spans="1:9" x14ac:dyDescent="0.15">
      <c r="A704" s="2">
        <v>7</v>
      </c>
      <c r="B704" s="1" t="s">
        <v>134</v>
      </c>
      <c r="C704" s="4">
        <v>19</v>
      </c>
      <c r="D704" s="8">
        <v>2.31</v>
      </c>
      <c r="E704" s="4">
        <v>17</v>
      </c>
      <c r="F704" s="8">
        <v>2.96</v>
      </c>
      <c r="G704" s="4">
        <v>2</v>
      </c>
      <c r="H704" s="8">
        <v>0.82</v>
      </c>
      <c r="I704" s="4">
        <v>0</v>
      </c>
    </row>
    <row r="705" spans="1:9" x14ac:dyDescent="0.15">
      <c r="A705" s="2">
        <v>9</v>
      </c>
      <c r="B705" s="1" t="s">
        <v>143</v>
      </c>
      <c r="C705" s="4">
        <v>17</v>
      </c>
      <c r="D705" s="8">
        <v>2.06</v>
      </c>
      <c r="E705" s="4">
        <v>17</v>
      </c>
      <c r="F705" s="8">
        <v>2.96</v>
      </c>
      <c r="G705" s="4">
        <v>0</v>
      </c>
      <c r="H705" s="8">
        <v>0</v>
      </c>
      <c r="I705" s="4">
        <v>0</v>
      </c>
    </row>
    <row r="706" spans="1:9" x14ac:dyDescent="0.15">
      <c r="A706" s="2">
        <v>10</v>
      </c>
      <c r="B706" s="1" t="s">
        <v>138</v>
      </c>
      <c r="C706" s="4">
        <v>16</v>
      </c>
      <c r="D706" s="8">
        <v>1.94</v>
      </c>
      <c r="E706" s="4">
        <v>15</v>
      </c>
      <c r="F706" s="8">
        <v>2.61</v>
      </c>
      <c r="G706" s="4">
        <v>1</v>
      </c>
      <c r="H706" s="8">
        <v>0.41</v>
      </c>
      <c r="I706" s="4">
        <v>0</v>
      </c>
    </row>
    <row r="707" spans="1:9" x14ac:dyDescent="0.15">
      <c r="A707" s="2">
        <v>10</v>
      </c>
      <c r="B707" s="1" t="s">
        <v>142</v>
      </c>
      <c r="C707" s="4">
        <v>16</v>
      </c>
      <c r="D707" s="8">
        <v>1.94</v>
      </c>
      <c r="E707" s="4">
        <v>14</v>
      </c>
      <c r="F707" s="8">
        <v>2.44</v>
      </c>
      <c r="G707" s="4">
        <v>2</v>
      </c>
      <c r="H707" s="8">
        <v>0.82</v>
      </c>
      <c r="I707" s="4">
        <v>0</v>
      </c>
    </row>
    <row r="708" spans="1:9" x14ac:dyDescent="0.15">
      <c r="A708" s="2">
        <v>12</v>
      </c>
      <c r="B708" s="1" t="s">
        <v>127</v>
      </c>
      <c r="C708" s="4">
        <v>14</v>
      </c>
      <c r="D708" s="8">
        <v>1.7</v>
      </c>
      <c r="E708" s="4">
        <v>9</v>
      </c>
      <c r="F708" s="8">
        <v>1.57</v>
      </c>
      <c r="G708" s="4">
        <v>5</v>
      </c>
      <c r="H708" s="8">
        <v>2.04</v>
      </c>
      <c r="I708" s="4">
        <v>0</v>
      </c>
    </row>
    <row r="709" spans="1:9" x14ac:dyDescent="0.15">
      <c r="A709" s="2">
        <v>12</v>
      </c>
      <c r="B709" s="1" t="s">
        <v>128</v>
      </c>
      <c r="C709" s="4">
        <v>14</v>
      </c>
      <c r="D709" s="8">
        <v>1.7</v>
      </c>
      <c r="E709" s="4">
        <v>11</v>
      </c>
      <c r="F709" s="8">
        <v>1.92</v>
      </c>
      <c r="G709" s="4">
        <v>3</v>
      </c>
      <c r="H709" s="8">
        <v>1.22</v>
      </c>
      <c r="I709" s="4">
        <v>0</v>
      </c>
    </row>
    <row r="710" spans="1:9" x14ac:dyDescent="0.15">
      <c r="A710" s="2">
        <v>12</v>
      </c>
      <c r="B710" s="1" t="s">
        <v>131</v>
      </c>
      <c r="C710" s="4">
        <v>14</v>
      </c>
      <c r="D710" s="8">
        <v>1.7</v>
      </c>
      <c r="E710" s="4">
        <v>5</v>
      </c>
      <c r="F710" s="8">
        <v>0.87</v>
      </c>
      <c r="G710" s="4">
        <v>9</v>
      </c>
      <c r="H710" s="8">
        <v>3.67</v>
      </c>
      <c r="I710" s="4">
        <v>0</v>
      </c>
    </row>
    <row r="711" spans="1:9" x14ac:dyDescent="0.15">
      <c r="A711" s="2">
        <v>15</v>
      </c>
      <c r="B711" s="1" t="s">
        <v>155</v>
      </c>
      <c r="C711" s="4">
        <v>13</v>
      </c>
      <c r="D711" s="8">
        <v>1.58</v>
      </c>
      <c r="E711" s="4">
        <v>12</v>
      </c>
      <c r="F711" s="8">
        <v>2.09</v>
      </c>
      <c r="G711" s="4">
        <v>1</v>
      </c>
      <c r="H711" s="8">
        <v>0.41</v>
      </c>
      <c r="I711" s="4">
        <v>0</v>
      </c>
    </row>
    <row r="712" spans="1:9" x14ac:dyDescent="0.15">
      <c r="A712" s="2">
        <v>15</v>
      </c>
      <c r="B712" s="1" t="s">
        <v>135</v>
      </c>
      <c r="C712" s="4">
        <v>13</v>
      </c>
      <c r="D712" s="8">
        <v>1.58</v>
      </c>
      <c r="E712" s="4">
        <v>13</v>
      </c>
      <c r="F712" s="8">
        <v>2.2599999999999998</v>
      </c>
      <c r="G712" s="4">
        <v>0</v>
      </c>
      <c r="H712" s="8">
        <v>0</v>
      </c>
      <c r="I712" s="4">
        <v>0</v>
      </c>
    </row>
    <row r="713" spans="1:9" x14ac:dyDescent="0.15">
      <c r="A713" s="2">
        <v>17</v>
      </c>
      <c r="B713" s="1" t="s">
        <v>159</v>
      </c>
      <c r="C713" s="4">
        <v>11</v>
      </c>
      <c r="D713" s="8">
        <v>1.33</v>
      </c>
      <c r="E713" s="4">
        <v>7</v>
      </c>
      <c r="F713" s="8">
        <v>1.22</v>
      </c>
      <c r="G713" s="4">
        <v>4</v>
      </c>
      <c r="H713" s="8">
        <v>1.63</v>
      </c>
      <c r="I713" s="4">
        <v>0</v>
      </c>
    </row>
    <row r="714" spans="1:9" x14ac:dyDescent="0.15">
      <c r="A714" s="2">
        <v>17</v>
      </c>
      <c r="B714" s="1" t="s">
        <v>172</v>
      </c>
      <c r="C714" s="4">
        <v>11</v>
      </c>
      <c r="D714" s="8">
        <v>1.33</v>
      </c>
      <c r="E714" s="4">
        <v>0</v>
      </c>
      <c r="F714" s="8">
        <v>0</v>
      </c>
      <c r="G714" s="4">
        <v>11</v>
      </c>
      <c r="H714" s="8">
        <v>4.49</v>
      </c>
      <c r="I714" s="4">
        <v>0</v>
      </c>
    </row>
    <row r="715" spans="1:9" x14ac:dyDescent="0.15">
      <c r="A715" s="2">
        <v>17</v>
      </c>
      <c r="B715" s="1" t="s">
        <v>150</v>
      </c>
      <c r="C715" s="4">
        <v>11</v>
      </c>
      <c r="D715" s="8">
        <v>1.33</v>
      </c>
      <c r="E715" s="4">
        <v>8</v>
      </c>
      <c r="F715" s="8">
        <v>1.39</v>
      </c>
      <c r="G715" s="4">
        <v>3</v>
      </c>
      <c r="H715" s="8">
        <v>1.22</v>
      </c>
      <c r="I715" s="4">
        <v>0</v>
      </c>
    </row>
    <row r="716" spans="1:9" x14ac:dyDescent="0.15">
      <c r="A716" s="2">
        <v>17</v>
      </c>
      <c r="B716" s="1" t="s">
        <v>166</v>
      </c>
      <c r="C716" s="4">
        <v>11</v>
      </c>
      <c r="D716" s="8">
        <v>1.33</v>
      </c>
      <c r="E716" s="4">
        <v>8</v>
      </c>
      <c r="F716" s="8">
        <v>1.39</v>
      </c>
      <c r="G716" s="4">
        <v>3</v>
      </c>
      <c r="H716" s="8">
        <v>1.22</v>
      </c>
      <c r="I716" s="4">
        <v>0</v>
      </c>
    </row>
    <row r="717" spans="1:9" x14ac:dyDescent="0.15">
      <c r="A717" s="1"/>
      <c r="C717" s="4"/>
      <c r="D717" s="8"/>
      <c r="E717" s="4"/>
      <c r="F717" s="8"/>
      <c r="G717" s="4"/>
      <c r="H717" s="8"/>
      <c r="I717" s="4"/>
    </row>
    <row r="718" spans="1:9" x14ac:dyDescent="0.15">
      <c r="A718" s="1" t="s">
        <v>32</v>
      </c>
      <c r="C718" s="4"/>
      <c r="D718" s="8"/>
      <c r="E718" s="4"/>
      <c r="F718" s="8"/>
      <c r="G718" s="4"/>
      <c r="H718" s="8"/>
      <c r="I718" s="4"/>
    </row>
    <row r="719" spans="1:9" x14ac:dyDescent="0.15">
      <c r="A719" s="2">
        <v>1</v>
      </c>
      <c r="B719" s="1" t="s">
        <v>141</v>
      </c>
      <c r="C719" s="4">
        <v>95</v>
      </c>
      <c r="D719" s="8">
        <v>4.74</v>
      </c>
      <c r="E719" s="4">
        <v>90</v>
      </c>
      <c r="F719" s="8">
        <v>6.54</v>
      </c>
      <c r="G719" s="4">
        <v>5</v>
      </c>
      <c r="H719" s="8">
        <v>0.81</v>
      </c>
      <c r="I719" s="4">
        <v>0</v>
      </c>
    </row>
    <row r="720" spans="1:9" x14ac:dyDescent="0.15">
      <c r="A720" s="2">
        <v>2</v>
      </c>
      <c r="B720" s="1" t="s">
        <v>125</v>
      </c>
      <c r="C720" s="4">
        <v>85</v>
      </c>
      <c r="D720" s="8">
        <v>4.24</v>
      </c>
      <c r="E720" s="4">
        <v>34</v>
      </c>
      <c r="F720" s="8">
        <v>2.4700000000000002</v>
      </c>
      <c r="G720" s="4">
        <v>51</v>
      </c>
      <c r="H720" s="8">
        <v>8.24</v>
      </c>
      <c r="I720" s="4">
        <v>0</v>
      </c>
    </row>
    <row r="721" spans="1:9" x14ac:dyDescent="0.15">
      <c r="A721" s="2">
        <v>3</v>
      </c>
      <c r="B721" s="1" t="s">
        <v>140</v>
      </c>
      <c r="C721" s="4">
        <v>71</v>
      </c>
      <c r="D721" s="8">
        <v>3.54</v>
      </c>
      <c r="E721" s="4">
        <v>69</v>
      </c>
      <c r="F721" s="8">
        <v>5.01</v>
      </c>
      <c r="G721" s="4">
        <v>2</v>
      </c>
      <c r="H721" s="8">
        <v>0.32</v>
      </c>
      <c r="I721" s="4">
        <v>0</v>
      </c>
    </row>
    <row r="722" spans="1:9" x14ac:dyDescent="0.15">
      <c r="A722" s="2">
        <v>4</v>
      </c>
      <c r="B722" s="1" t="s">
        <v>167</v>
      </c>
      <c r="C722" s="4">
        <v>58</v>
      </c>
      <c r="D722" s="8">
        <v>2.9</v>
      </c>
      <c r="E722" s="4">
        <v>44</v>
      </c>
      <c r="F722" s="8">
        <v>3.2</v>
      </c>
      <c r="G722" s="4">
        <v>14</v>
      </c>
      <c r="H722" s="8">
        <v>2.2599999999999998</v>
      </c>
      <c r="I722" s="4">
        <v>0</v>
      </c>
    </row>
    <row r="723" spans="1:9" x14ac:dyDescent="0.15">
      <c r="A723" s="2">
        <v>5</v>
      </c>
      <c r="B723" s="1" t="s">
        <v>130</v>
      </c>
      <c r="C723" s="4">
        <v>48</v>
      </c>
      <c r="D723" s="8">
        <v>2.4</v>
      </c>
      <c r="E723" s="4">
        <v>32</v>
      </c>
      <c r="F723" s="8">
        <v>2.33</v>
      </c>
      <c r="G723" s="4">
        <v>16</v>
      </c>
      <c r="H723" s="8">
        <v>2.58</v>
      </c>
      <c r="I723" s="4">
        <v>0</v>
      </c>
    </row>
    <row r="724" spans="1:9" x14ac:dyDescent="0.15">
      <c r="A724" s="2">
        <v>6</v>
      </c>
      <c r="B724" s="1" t="s">
        <v>132</v>
      </c>
      <c r="C724" s="4">
        <v>46</v>
      </c>
      <c r="D724" s="8">
        <v>2.2999999999999998</v>
      </c>
      <c r="E724" s="4">
        <v>33</v>
      </c>
      <c r="F724" s="8">
        <v>2.4</v>
      </c>
      <c r="G724" s="4">
        <v>13</v>
      </c>
      <c r="H724" s="8">
        <v>2.1</v>
      </c>
      <c r="I724" s="4">
        <v>0</v>
      </c>
    </row>
    <row r="725" spans="1:9" x14ac:dyDescent="0.15">
      <c r="A725" s="2">
        <v>7</v>
      </c>
      <c r="B725" s="1" t="s">
        <v>143</v>
      </c>
      <c r="C725" s="4">
        <v>41</v>
      </c>
      <c r="D725" s="8">
        <v>2.0499999999999998</v>
      </c>
      <c r="E725" s="4">
        <v>37</v>
      </c>
      <c r="F725" s="8">
        <v>2.69</v>
      </c>
      <c r="G725" s="4">
        <v>4</v>
      </c>
      <c r="H725" s="8">
        <v>0.65</v>
      </c>
      <c r="I725" s="4">
        <v>0</v>
      </c>
    </row>
    <row r="726" spans="1:9" x14ac:dyDescent="0.15">
      <c r="A726" s="2">
        <v>8</v>
      </c>
      <c r="B726" s="1" t="s">
        <v>137</v>
      </c>
      <c r="C726" s="4">
        <v>39</v>
      </c>
      <c r="D726" s="8">
        <v>1.95</v>
      </c>
      <c r="E726" s="4">
        <v>39</v>
      </c>
      <c r="F726" s="8">
        <v>2.83</v>
      </c>
      <c r="G726" s="4">
        <v>0</v>
      </c>
      <c r="H726" s="8">
        <v>0</v>
      </c>
      <c r="I726" s="4">
        <v>0</v>
      </c>
    </row>
    <row r="727" spans="1:9" x14ac:dyDescent="0.15">
      <c r="A727" s="2">
        <v>9</v>
      </c>
      <c r="B727" s="1" t="s">
        <v>127</v>
      </c>
      <c r="C727" s="4">
        <v>37</v>
      </c>
      <c r="D727" s="8">
        <v>1.85</v>
      </c>
      <c r="E727" s="4">
        <v>27</v>
      </c>
      <c r="F727" s="8">
        <v>1.96</v>
      </c>
      <c r="G727" s="4">
        <v>10</v>
      </c>
      <c r="H727" s="8">
        <v>1.62</v>
      </c>
      <c r="I727" s="4">
        <v>0</v>
      </c>
    </row>
    <row r="728" spans="1:9" x14ac:dyDescent="0.15">
      <c r="A728" s="2">
        <v>10</v>
      </c>
      <c r="B728" s="1" t="s">
        <v>135</v>
      </c>
      <c r="C728" s="4">
        <v>36</v>
      </c>
      <c r="D728" s="8">
        <v>1.8</v>
      </c>
      <c r="E728" s="4">
        <v>29</v>
      </c>
      <c r="F728" s="8">
        <v>2.11</v>
      </c>
      <c r="G728" s="4">
        <v>7</v>
      </c>
      <c r="H728" s="8">
        <v>1.1299999999999999</v>
      </c>
      <c r="I728" s="4">
        <v>0</v>
      </c>
    </row>
    <row r="729" spans="1:9" x14ac:dyDescent="0.15">
      <c r="A729" s="2">
        <v>10</v>
      </c>
      <c r="B729" s="1" t="s">
        <v>138</v>
      </c>
      <c r="C729" s="4">
        <v>36</v>
      </c>
      <c r="D729" s="8">
        <v>1.8</v>
      </c>
      <c r="E729" s="4">
        <v>36</v>
      </c>
      <c r="F729" s="8">
        <v>2.62</v>
      </c>
      <c r="G729" s="4">
        <v>0</v>
      </c>
      <c r="H729" s="8">
        <v>0</v>
      </c>
      <c r="I729" s="4">
        <v>0</v>
      </c>
    </row>
    <row r="730" spans="1:9" x14ac:dyDescent="0.15">
      <c r="A730" s="2">
        <v>12</v>
      </c>
      <c r="B730" s="1" t="s">
        <v>126</v>
      </c>
      <c r="C730" s="4">
        <v>32</v>
      </c>
      <c r="D730" s="8">
        <v>1.6</v>
      </c>
      <c r="E730" s="4">
        <v>15</v>
      </c>
      <c r="F730" s="8">
        <v>1.0900000000000001</v>
      </c>
      <c r="G730" s="4">
        <v>17</v>
      </c>
      <c r="H730" s="8">
        <v>2.75</v>
      </c>
      <c r="I730" s="4">
        <v>0</v>
      </c>
    </row>
    <row r="731" spans="1:9" x14ac:dyDescent="0.15">
      <c r="A731" s="2">
        <v>12</v>
      </c>
      <c r="B731" s="1" t="s">
        <v>131</v>
      </c>
      <c r="C731" s="4">
        <v>32</v>
      </c>
      <c r="D731" s="8">
        <v>1.6</v>
      </c>
      <c r="E731" s="4">
        <v>17</v>
      </c>
      <c r="F731" s="8">
        <v>1.24</v>
      </c>
      <c r="G731" s="4">
        <v>15</v>
      </c>
      <c r="H731" s="8">
        <v>2.42</v>
      </c>
      <c r="I731" s="4">
        <v>0</v>
      </c>
    </row>
    <row r="732" spans="1:9" x14ac:dyDescent="0.15">
      <c r="A732" s="2">
        <v>14</v>
      </c>
      <c r="B732" s="1" t="s">
        <v>160</v>
      </c>
      <c r="C732" s="4">
        <v>31</v>
      </c>
      <c r="D732" s="8">
        <v>1.55</v>
      </c>
      <c r="E732" s="4">
        <v>21</v>
      </c>
      <c r="F732" s="8">
        <v>1.53</v>
      </c>
      <c r="G732" s="4">
        <v>10</v>
      </c>
      <c r="H732" s="8">
        <v>1.62</v>
      </c>
      <c r="I732" s="4">
        <v>0</v>
      </c>
    </row>
    <row r="733" spans="1:9" x14ac:dyDescent="0.15">
      <c r="A733" s="2">
        <v>15</v>
      </c>
      <c r="B733" s="1" t="s">
        <v>134</v>
      </c>
      <c r="C733" s="4">
        <v>30</v>
      </c>
      <c r="D733" s="8">
        <v>1.5</v>
      </c>
      <c r="E733" s="4">
        <v>19</v>
      </c>
      <c r="F733" s="8">
        <v>1.38</v>
      </c>
      <c r="G733" s="4">
        <v>11</v>
      </c>
      <c r="H733" s="8">
        <v>1.78</v>
      </c>
      <c r="I733" s="4">
        <v>0</v>
      </c>
    </row>
    <row r="734" spans="1:9" x14ac:dyDescent="0.15">
      <c r="A734" s="2">
        <v>16</v>
      </c>
      <c r="B734" s="1" t="s">
        <v>128</v>
      </c>
      <c r="C734" s="4">
        <v>29</v>
      </c>
      <c r="D734" s="8">
        <v>1.45</v>
      </c>
      <c r="E734" s="4">
        <v>20</v>
      </c>
      <c r="F734" s="8">
        <v>1.45</v>
      </c>
      <c r="G734" s="4">
        <v>9</v>
      </c>
      <c r="H734" s="8">
        <v>1.45</v>
      </c>
      <c r="I734" s="4">
        <v>0</v>
      </c>
    </row>
    <row r="735" spans="1:9" x14ac:dyDescent="0.15">
      <c r="A735" s="2">
        <v>17</v>
      </c>
      <c r="B735" s="1" t="s">
        <v>190</v>
      </c>
      <c r="C735" s="4">
        <v>28</v>
      </c>
      <c r="D735" s="8">
        <v>1.4</v>
      </c>
      <c r="E735" s="4">
        <v>22</v>
      </c>
      <c r="F735" s="8">
        <v>1.6</v>
      </c>
      <c r="G735" s="4">
        <v>6</v>
      </c>
      <c r="H735" s="8">
        <v>0.97</v>
      </c>
      <c r="I735" s="4">
        <v>0</v>
      </c>
    </row>
    <row r="736" spans="1:9" x14ac:dyDescent="0.15">
      <c r="A736" s="2">
        <v>17</v>
      </c>
      <c r="B736" s="1" t="s">
        <v>142</v>
      </c>
      <c r="C736" s="4">
        <v>28</v>
      </c>
      <c r="D736" s="8">
        <v>1.4</v>
      </c>
      <c r="E736" s="4">
        <v>24</v>
      </c>
      <c r="F736" s="8">
        <v>1.74</v>
      </c>
      <c r="G736" s="4">
        <v>4</v>
      </c>
      <c r="H736" s="8">
        <v>0.65</v>
      </c>
      <c r="I736" s="4">
        <v>0</v>
      </c>
    </row>
    <row r="737" spans="1:9" x14ac:dyDescent="0.15">
      <c r="A737" s="2">
        <v>19</v>
      </c>
      <c r="B737" s="1" t="s">
        <v>181</v>
      </c>
      <c r="C737" s="4">
        <v>27</v>
      </c>
      <c r="D737" s="8">
        <v>1.35</v>
      </c>
      <c r="E737" s="4">
        <v>27</v>
      </c>
      <c r="F737" s="8">
        <v>1.96</v>
      </c>
      <c r="G737" s="4">
        <v>0</v>
      </c>
      <c r="H737" s="8">
        <v>0</v>
      </c>
      <c r="I737" s="4">
        <v>0</v>
      </c>
    </row>
    <row r="738" spans="1:9" x14ac:dyDescent="0.15">
      <c r="A738" s="2">
        <v>20</v>
      </c>
      <c r="B738" s="1" t="s">
        <v>188</v>
      </c>
      <c r="C738" s="4">
        <v>26</v>
      </c>
      <c r="D738" s="8">
        <v>1.3</v>
      </c>
      <c r="E738" s="4">
        <v>24</v>
      </c>
      <c r="F738" s="8">
        <v>1.74</v>
      </c>
      <c r="G738" s="4">
        <v>2</v>
      </c>
      <c r="H738" s="8">
        <v>0.32</v>
      </c>
      <c r="I738" s="4">
        <v>0</v>
      </c>
    </row>
    <row r="739" spans="1:9" x14ac:dyDescent="0.15">
      <c r="A739" s="2">
        <v>20</v>
      </c>
      <c r="B739" s="1" t="s">
        <v>191</v>
      </c>
      <c r="C739" s="4">
        <v>26</v>
      </c>
      <c r="D739" s="8">
        <v>1.3</v>
      </c>
      <c r="E739" s="4">
        <v>15</v>
      </c>
      <c r="F739" s="8">
        <v>1.0900000000000001</v>
      </c>
      <c r="G739" s="4">
        <v>11</v>
      </c>
      <c r="H739" s="8">
        <v>1.78</v>
      </c>
      <c r="I739" s="4">
        <v>0</v>
      </c>
    </row>
    <row r="740" spans="1:9" x14ac:dyDescent="0.15">
      <c r="A740" s="2">
        <v>20</v>
      </c>
      <c r="B740" s="1" t="s">
        <v>166</v>
      </c>
      <c r="C740" s="4">
        <v>26</v>
      </c>
      <c r="D740" s="8">
        <v>1.3</v>
      </c>
      <c r="E740" s="4">
        <v>25</v>
      </c>
      <c r="F740" s="8">
        <v>1.82</v>
      </c>
      <c r="G740" s="4">
        <v>1</v>
      </c>
      <c r="H740" s="8">
        <v>0.16</v>
      </c>
      <c r="I740" s="4">
        <v>0</v>
      </c>
    </row>
    <row r="741" spans="1:9" x14ac:dyDescent="0.15">
      <c r="A741" s="1"/>
      <c r="C741" s="4"/>
      <c r="D741" s="8"/>
      <c r="E741" s="4"/>
      <c r="F741" s="8"/>
      <c r="G741" s="4"/>
      <c r="H741" s="8"/>
      <c r="I741" s="4"/>
    </row>
    <row r="742" spans="1:9" x14ac:dyDescent="0.15">
      <c r="A742" s="1" t="s">
        <v>33</v>
      </c>
      <c r="C742" s="4"/>
      <c r="D742" s="8"/>
      <c r="E742" s="4"/>
      <c r="F742" s="8"/>
      <c r="G742" s="4"/>
      <c r="H742" s="8"/>
      <c r="I742" s="4"/>
    </row>
    <row r="743" spans="1:9" x14ac:dyDescent="0.15">
      <c r="A743" s="2">
        <v>1</v>
      </c>
      <c r="B743" s="1" t="s">
        <v>193</v>
      </c>
      <c r="C743" s="4">
        <v>81</v>
      </c>
      <c r="D743" s="8">
        <v>4.5999999999999996</v>
      </c>
      <c r="E743" s="4">
        <v>61</v>
      </c>
      <c r="F743" s="8">
        <v>4.6500000000000004</v>
      </c>
      <c r="G743" s="4">
        <v>20</v>
      </c>
      <c r="H743" s="8">
        <v>4.45</v>
      </c>
      <c r="I743" s="4">
        <v>0</v>
      </c>
    </row>
    <row r="744" spans="1:9" x14ac:dyDescent="0.15">
      <c r="A744" s="2">
        <v>2</v>
      </c>
      <c r="B744" s="1" t="s">
        <v>141</v>
      </c>
      <c r="C744" s="4">
        <v>76</v>
      </c>
      <c r="D744" s="8">
        <v>4.3099999999999996</v>
      </c>
      <c r="E744" s="4">
        <v>76</v>
      </c>
      <c r="F744" s="8">
        <v>5.8</v>
      </c>
      <c r="G744" s="4">
        <v>0</v>
      </c>
      <c r="H744" s="8">
        <v>0</v>
      </c>
      <c r="I744" s="4">
        <v>0</v>
      </c>
    </row>
    <row r="745" spans="1:9" x14ac:dyDescent="0.15">
      <c r="A745" s="2">
        <v>3</v>
      </c>
      <c r="B745" s="1" t="s">
        <v>134</v>
      </c>
      <c r="C745" s="4">
        <v>69</v>
      </c>
      <c r="D745" s="8">
        <v>3.92</v>
      </c>
      <c r="E745" s="4">
        <v>59</v>
      </c>
      <c r="F745" s="8">
        <v>4.5</v>
      </c>
      <c r="G745" s="4">
        <v>10</v>
      </c>
      <c r="H745" s="8">
        <v>2.23</v>
      </c>
      <c r="I745" s="4">
        <v>0</v>
      </c>
    </row>
    <row r="746" spans="1:9" x14ac:dyDescent="0.15">
      <c r="A746" s="2">
        <v>4</v>
      </c>
      <c r="B746" s="1" t="s">
        <v>140</v>
      </c>
      <c r="C746" s="4">
        <v>57</v>
      </c>
      <c r="D746" s="8">
        <v>3.23</v>
      </c>
      <c r="E746" s="4">
        <v>57</v>
      </c>
      <c r="F746" s="8">
        <v>4.3499999999999996</v>
      </c>
      <c r="G746" s="4">
        <v>0</v>
      </c>
      <c r="H746" s="8">
        <v>0</v>
      </c>
      <c r="I746" s="4">
        <v>0</v>
      </c>
    </row>
    <row r="747" spans="1:9" x14ac:dyDescent="0.15">
      <c r="A747" s="2">
        <v>5</v>
      </c>
      <c r="B747" s="1" t="s">
        <v>132</v>
      </c>
      <c r="C747" s="4">
        <v>50</v>
      </c>
      <c r="D747" s="8">
        <v>2.84</v>
      </c>
      <c r="E747" s="4">
        <v>43</v>
      </c>
      <c r="F747" s="8">
        <v>3.28</v>
      </c>
      <c r="G747" s="4">
        <v>7</v>
      </c>
      <c r="H747" s="8">
        <v>1.56</v>
      </c>
      <c r="I747" s="4">
        <v>0</v>
      </c>
    </row>
    <row r="748" spans="1:9" x14ac:dyDescent="0.15">
      <c r="A748" s="2">
        <v>6</v>
      </c>
      <c r="B748" s="1" t="s">
        <v>138</v>
      </c>
      <c r="C748" s="4">
        <v>49</v>
      </c>
      <c r="D748" s="8">
        <v>2.78</v>
      </c>
      <c r="E748" s="4">
        <v>49</v>
      </c>
      <c r="F748" s="8">
        <v>3.74</v>
      </c>
      <c r="G748" s="4">
        <v>0</v>
      </c>
      <c r="H748" s="8">
        <v>0</v>
      </c>
      <c r="I748" s="4">
        <v>0</v>
      </c>
    </row>
    <row r="749" spans="1:9" x14ac:dyDescent="0.15">
      <c r="A749" s="2">
        <v>7</v>
      </c>
      <c r="B749" s="1" t="s">
        <v>166</v>
      </c>
      <c r="C749" s="4">
        <v>47</v>
      </c>
      <c r="D749" s="8">
        <v>2.67</v>
      </c>
      <c r="E749" s="4">
        <v>41</v>
      </c>
      <c r="F749" s="8">
        <v>3.13</v>
      </c>
      <c r="G749" s="4">
        <v>6</v>
      </c>
      <c r="H749" s="8">
        <v>1.34</v>
      </c>
      <c r="I749" s="4">
        <v>0</v>
      </c>
    </row>
    <row r="750" spans="1:9" x14ac:dyDescent="0.15">
      <c r="A750" s="2">
        <v>8</v>
      </c>
      <c r="B750" s="1" t="s">
        <v>125</v>
      </c>
      <c r="C750" s="4">
        <v>42</v>
      </c>
      <c r="D750" s="8">
        <v>2.38</v>
      </c>
      <c r="E750" s="4">
        <v>13</v>
      </c>
      <c r="F750" s="8">
        <v>0.99</v>
      </c>
      <c r="G750" s="4">
        <v>29</v>
      </c>
      <c r="H750" s="8">
        <v>6.46</v>
      </c>
      <c r="I750" s="4">
        <v>0</v>
      </c>
    </row>
    <row r="751" spans="1:9" x14ac:dyDescent="0.15">
      <c r="A751" s="2">
        <v>9</v>
      </c>
      <c r="B751" s="1" t="s">
        <v>129</v>
      </c>
      <c r="C751" s="4">
        <v>35</v>
      </c>
      <c r="D751" s="8">
        <v>1.99</v>
      </c>
      <c r="E751" s="4">
        <v>33</v>
      </c>
      <c r="F751" s="8">
        <v>2.52</v>
      </c>
      <c r="G751" s="4">
        <v>2</v>
      </c>
      <c r="H751" s="8">
        <v>0.45</v>
      </c>
      <c r="I751" s="4">
        <v>0</v>
      </c>
    </row>
    <row r="752" spans="1:9" x14ac:dyDescent="0.15">
      <c r="A752" s="2">
        <v>10</v>
      </c>
      <c r="B752" s="1" t="s">
        <v>194</v>
      </c>
      <c r="C752" s="4">
        <v>33</v>
      </c>
      <c r="D752" s="8">
        <v>1.87</v>
      </c>
      <c r="E752" s="4">
        <v>19</v>
      </c>
      <c r="F752" s="8">
        <v>1.45</v>
      </c>
      <c r="G752" s="4">
        <v>14</v>
      </c>
      <c r="H752" s="8">
        <v>3.12</v>
      </c>
      <c r="I752" s="4">
        <v>0</v>
      </c>
    </row>
    <row r="753" spans="1:9" x14ac:dyDescent="0.15">
      <c r="A753" s="2">
        <v>11</v>
      </c>
      <c r="B753" s="1" t="s">
        <v>128</v>
      </c>
      <c r="C753" s="4">
        <v>32</v>
      </c>
      <c r="D753" s="8">
        <v>1.82</v>
      </c>
      <c r="E753" s="4">
        <v>25</v>
      </c>
      <c r="F753" s="8">
        <v>1.91</v>
      </c>
      <c r="G753" s="4">
        <v>7</v>
      </c>
      <c r="H753" s="8">
        <v>1.56</v>
      </c>
      <c r="I753" s="4">
        <v>0</v>
      </c>
    </row>
    <row r="754" spans="1:9" x14ac:dyDescent="0.15">
      <c r="A754" s="2">
        <v>11</v>
      </c>
      <c r="B754" s="1" t="s">
        <v>155</v>
      </c>
      <c r="C754" s="4">
        <v>32</v>
      </c>
      <c r="D754" s="8">
        <v>1.82</v>
      </c>
      <c r="E754" s="4">
        <v>28</v>
      </c>
      <c r="F754" s="8">
        <v>2.14</v>
      </c>
      <c r="G754" s="4">
        <v>4</v>
      </c>
      <c r="H754" s="8">
        <v>0.89</v>
      </c>
      <c r="I754" s="4">
        <v>0</v>
      </c>
    </row>
    <row r="755" spans="1:9" x14ac:dyDescent="0.15">
      <c r="A755" s="2">
        <v>13</v>
      </c>
      <c r="B755" s="1" t="s">
        <v>192</v>
      </c>
      <c r="C755" s="4">
        <v>30</v>
      </c>
      <c r="D755" s="8">
        <v>1.7</v>
      </c>
      <c r="E755" s="4">
        <v>22</v>
      </c>
      <c r="F755" s="8">
        <v>1.68</v>
      </c>
      <c r="G755" s="4">
        <v>8</v>
      </c>
      <c r="H755" s="8">
        <v>1.78</v>
      </c>
      <c r="I755" s="4">
        <v>0</v>
      </c>
    </row>
    <row r="756" spans="1:9" x14ac:dyDescent="0.15">
      <c r="A756" s="2">
        <v>13</v>
      </c>
      <c r="B756" s="1" t="s">
        <v>135</v>
      </c>
      <c r="C756" s="4">
        <v>30</v>
      </c>
      <c r="D756" s="8">
        <v>1.7</v>
      </c>
      <c r="E756" s="4">
        <v>29</v>
      </c>
      <c r="F756" s="8">
        <v>2.21</v>
      </c>
      <c r="G756" s="4">
        <v>1</v>
      </c>
      <c r="H756" s="8">
        <v>0.22</v>
      </c>
      <c r="I756" s="4">
        <v>0</v>
      </c>
    </row>
    <row r="757" spans="1:9" x14ac:dyDescent="0.15">
      <c r="A757" s="2">
        <v>13</v>
      </c>
      <c r="B757" s="1" t="s">
        <v>143</v>
      </c>
      <c r="C757" s="4">
        <v>30</v>
      </c>
      <c r="D757" s="8">
        <v>1.7</v>
      </c>
      <c r="E757" s="4">
        <v>29</v>
      </c>
      <c r="F757" s="8">
        <v>2.21</v>
      </c>
      <c r="G757" s="4">
        <v>1</v>
      </c>
      <c r="H757" s="8">
        <v>0.22</v>
      </c>
      <c r="I757" s="4">
        <v>0</v>
      </c>
    </row>
    <row r="758" spans="1:9" x14ac:dyDescent="0.15">
      <c r="A758" s="2">
        <v>16</v>
      </c>
      <c r="B758" s="1" t="s">
        <v>195</v>
      </c>
      <c r="C758" s="4">
        <v>29</v>
      </c>
      <c r="D758" s="8">
        <v>1.65</v>
      </c>
      <c r="E758" s="4">
        <v>9</v>
      </c>
      <c r="F758" s="8">
        <v>0.69</v>
      </c>
      <c r="G758" s="4">
        <v>20</v>
      </c>
      <c r="H758" s="8">
        <v>4.45</v>
      </c>
      <c r="I758" s="4">
        <v>0</v>
      </c>
    </row>
    <row r="759" spans="1:9" x14ac:dyDescent="0.15">
      <c r="A759" s="2">
        <v>16</v>
      </c>
      <c r="B759" s="1" t="s">
        <v>142</v>
      </c>
      <c r="C759" s="4">
        <v>29</v>
      </c>
      <c r="D759" s="8">
        <v>1.65</v>
      </c>
      <c r="E759" s="4">
        <v>28</v>
      </c>
      <c r="F759" s="8">
        <v>2.14</v>
      </c>
      <c r="G759" s="4">
        <v>1</v>
      </c>
      <c r="H759" s="8">
        <v>0.22</v>
      </c>
      <c r="I759" s="4">
        <v>0</v>
      </c>
    </row>
    <row r="760" spans="1:9" x14ac:dyDescent="0.15">
      <c r="A760" s="2">
        <v>18</v>
      </c>
      <c r="B760" s="1" t="s">
        <v>126</v>
      </c>
      <c r="C760" s="4">
        <v>27</v>
      </c>
      <c r="D760" s="8">
        <v>1.53</v>
      </c>
      <c r="E760" s="4">
        <v>15</v>
      </c>
      <c r="F760" s="8">
        <v>1.1399999999999999</v>
      </c>
      <c r="G760" s="4">
        <v>12</v>
      </c>
      <c r="H760" s="8">
        <v>2.67</v>
      </c>
      <c r="I760" s="4">
        <v>0</v>
      </c>
    </row>
    <row r="761" spans="1:9" x14ac:dyDescent="0.15">
      <c r="A761" s="2">
        <v>18</v>
      </c>
      <c r="B761" s="1" t="s">
        <v>127</v>
      </c>
      <c r="C761" s="4">
        <v>27</v>
      </c>
      <c r="D761" s="8">
        <v>1.53</v>
      </c>
      <c r="E761" s="4">
        <v>21</v>
      </c>
      <c r="F761" s="8">
        <v>1.6</v>
      </c>
      <c r="G761" s="4">
        <v>6</v>
      </c>
      <c r="H761" s="8">
        <v>1.34</v>
      </c>
      <c r="I761" s="4">
        <v>0</v>
      </c>
    </row>
    <row r="762" spans="1:9" x14ac:dyDescent="0.15">
      <c r="A762" s="2">
        <v>18</v>
      </c>
      <c r="B762" s="1" t="s">
        <v>159</v>
      </c>
      <c r="C762" s="4">
        <v>27</v>
      </c>
      <c r="D762" s="8">
        <v>1.53</v>
      </c>
      <c r="E762" s="4">
        <v>21</v>
      </c>
      <c r="F762" s="8">
        <v>1.6</v>
      </c>
      <c r="G762" s="4">
        <v>6</v>
      </c>
      <c r="H762" s="8">
        <v>1.34</v>
      </c>
      <c r="I762" s="4">
        <v>0</v>
      </c>
    </row>
    <row r="763" spans="1:9" x14ac:dyDescent="0.15">
      <c r="A763" s="1"/>
      <c r="C763" s="4"/>
      <c r="D763" s="8"/>
      <c r="E763" s="4"/>
      <c r="F763" s="8"/>
      <c r="G763" s="4"/>
      <c r="H763" s="8"/>
      <c r="I763" s="4"/>
    </row>
    <row r="764" spans="1:9" x14ac:dyDescent="0.15">
      <c r="A764" s="1" t="s">
        <v>34</v>
      </c>
      <c r="C764" s="4"/>
      <c r="D764" s="8"/>
      <c r="E764" s="4"/>
      <c r="F764" s="8"/>
      <c r="G764" s="4"/>
      <c r="H764" s="8"/>
      <c r="I764" s="4"/>
    </row>
    <row r="765" spans="1:9" x14ac:dyDescent="0.15">
      <c r="A765" s="2">
        <v>1</v>
      </c>
      <c r="B765" s="1" t="s">
        <v>141</v>
      </c>
      <c r="C765" s="4">
        <v>63</v>
      </c>
      <c r="D765" s="8">
        <v>6.28</v>
      </c>
      <c r="E765" s="4">
        <v>63</v>
      </c>
      <c r="F765" s="8">
        <v>9.4499999999999993</v>
      </c>
      <c r="G765" s="4">
        <v>0</v>
      </c>
      <c r="H765" s="8">
        <v>0</v>
      </c>
      <c r="I765" s="4">
        <v>0</v>
      </c>
    </row>
    <row r="766" spans="1:9" x14ac:dyDescent="0.15">
      <c r="A766" s="2">
        <v>2</v>
      </c>
      <c r="B766" s="1" t="s">
        <v>125</v>
      </c>
      <c r="C766" s="4">
        <v>44</v>
      </c>
      <c r="D766" s="8">
        <v>4.3899999999999997</v>
      </c>
      <c r="E766" s="4">
        <v>12</v>
      </c>
      <c r="F766" s="8">
        <v>1.8</v>
      </c>
      <c r="G766" s="4">
        <v>32</v>
      </c>
      <c r="H766" s="8">
        <v>9.67</v>
      </c>
      <c r="I766" s="4">
        <v>0</v>
      </c>
    </row>
    <row r="767" spans="1:9" x14ac:dyDescent="0.15">
      <c r="A767" s="2">
        <v>3</v>
      </c>
      <c r="B767" s="1" t="s">
        <v>134</v>
      </c>
      <c r="C767" s="4">
        <v>38</v>
      </c>
      <c r="D767" s="8">
        <v>3.79</v>
      </c>
      <c r="E767" s="4">
        <v>34</v>
      </c>
      <c r="F767" s="8">
        <v>5.0999999999999996</v>
      </c>
      <c r="G767" s="4">
        <v>4</v>
      </c>
      <c r="H767" s="8">
        <v>1.21</v>
      </c>
      <c r="I767" s="4">
        <v>0</v>
      </c>
    </row>
    <row r="768" spans="1:9" x14ac:dyDescent="0.15">
      <c r="A768" s="2">
        <v>4</v>
      </c>
      <c r="B768" s="1" t="s">
        <v>130</v>
      </c>
      <c r="C768" s="4">
        <v>31</v>
      </c>
      <c r="D768" s="8">
        <v>3.09</v>
      </c>
      <c r="E768" s="4">
        <v>18</v>
      </c>
      <c r="F768" s="8">
        <v>2.7</v>
      </c>
      <c r="G768" s="4">
        <v>13</v>
      </c>
      <c r="H768" s="8">
        <v>3.93</v>
      </c>
      <c r="I768" s="4">
        <v>0</v>
      </c>
    </row>
    <row r="769" spans="1:9" x14ac:dyDescent="0.15">
      <c r="A769" s="2">
        <v>5</v>
      </c>
      <c r="B769" s="1" t="s">
        <v>140</v>
      </c>
      <c r="C769" s="4">
        <v>29</v>
      </c>
      <c r="D769" s="8">
        <v>2.89</v>
      </c>
      <c r="E769" s="4">
        <v>29</v>
      </c>
      <c r="F769" s="8">
        <v>4.3499999999999996</v>
      </c>
      <c r="G769" s="4">
        <v>0</v>
      </c>
      <c r="H769" s="8">
        <v>0</v>
      </c>
      <c r="I769" s="4">
        <v>0</v>
      </c>
    </row>
    <row r="770" spans="1:9" x14ac:dyDescent="0.15">
      <c r="A770" s="2">
        <v>6</v>
      </c>
      <c r="B770" s="1" t="s">
        <v>143</v>
      </c>
      <c r="C770" s="4">
        <v>26</v>
      </c>
      <c r="D770" s="8">
        <v>2.59</v>
      </c>
      <c r="E770" s="4">
        <v>24</v>
      </c>
      <c r="F770" s="8">
        <v>3.6</v>
      </c>
      <c r="G770" s="4">
        <v>2</v>
      </c>
      <c r="H770" s="8">
        <v>0.6</v>
      </c>
      <c r="I770" s="4">
        <v>0</v>
      </c>
    </row>
    <row r="771" spans="1:9" x14ac:dyDescent="0.15">
      <c r="A771" s="2">
        <v>7</v>
      </c>
      <c r="B771" s="1" t="s">
        <v>132</v>
      </c>
      <c r="C771" s="4">
        <v>25</v>
      </c>
      <c r="D771" s="8">
        <v>2.4900000000000002</v>
      </c>
      <c r="E771" s="4">
        <v>18</v>
      </c>
      <c r="F771" s="8">
        <v>2.7</v>
      </c>
      <c r="G771" s="4">
        <v>7</v>
      </c>
      <c r="H771" s="8">
        <v>2.11</v>
      </c>
      <c r="I771" s="4">
        <v>0</v>
      </c>
    </row>
    <row r="772" spans="1:9" x14ac:dyDescent="0.15">
      <c r="A772" s="2">
        <v>8</v>
      </c>
      <c r="B772" s="1" t="s">
        <v>138</v>
      </c>
      <c r="C772" s="4">
        <v>24</v>
      </c>
      <c r="D772" s="8">
        <v>2.39</v>
      </c>
      <c r="E772" s="4">
        <v>20</v>
      </c>
      <c r="F772" s="8">
        <v>3</v>
      </c>
      <c r="G772" s="4">
        <v>3</v>
      </c>
      <c r="H772" s="8">
        <v>0.91</v>
      </c>
      <c r="I772" s="4">
        <v>1</v>
      </c>
    </row>
    <row r="773" spans="1:9" x14ac:dyDescent="0.15">
      <c r="A773" s="2">
        <v>9</v>
      </c>
      <c r="B773" s="1" t="s">
        <v>128</v>
      </c>
      <c r="C773" s="4">
        <v>20</v>
      </c>
      <c r="D773" s="8">
        <v>1.99</v>
      </c>
      <c r="E773" s="4">
        <v>14</v>
      </c>
      <c r="F773" s="8">
        <v>2.1</v>
      </c>
      <c r="G773" s="4">
        <v>6</v>
      </c>
      <c r="H773" s="8">
        <v>1.81</v>
      </c>
      <c r="I773" s="4">
        <v>0</v>
      </c>
    </row>
    <row r="774" spans="1:9" x14ac:dyDescent="0.15">
      <c r="A774" s="2">
        <v>9</v>
      </c>
      <c r="B774" s="1" t="s">
        <v>137</v>
      </c>
      <c r="C774" s="4">
        <v>20</v>
      </c>
      <c r="D774" s="8">
        <v>1.99</v>
      </c>
      <c r="E774" s="4">
        <v>20</v>
      </c>
      <c r="F774" s="8">
        <v>3</v>
      </c>
      <c r="G774" s="4">
        <v>0</v>
      </c>
      <c r="H774" s="8">
        <v>0</v>
      </c>
      <c r="I774" s="4">
        <v>0</v>
      </c>
    </row>
    <row r="775" spans="1:9" x14ac:dyDescent="0.15">
      <c r="A775" s="2">
        <v>11</v>
      </c>
      <c r="B775" s="1" t="s">
        <v>127</v>
      </c>
      <c r="C775" s="4">
        <v>18</v>
      </c>
      <c r="D775" s="8">
        <v>1.79</v>
      </c>
      <c r="E775" s="4">
        <v>9</v>
      </c>
      <c r="F775" s="8">
        <v>1.35</v>
      </c>
      <c r="G775" s="4">
        <v>9</v>
      </c>
      <c r="H775" s="8">
        <v>2.72</v>
      </c>
      <c r="I775" s="4">
        <v>0</v>
      </c>
    </row>
    <row r="776" spans="1:9" x14ac:dyDescent="0.15">
      <c r="A776" s="2">
        <v>11</v>
      </c>
      <c r="B776" s="1" t="s">
        <v>146</v>
      </c>
      <c r="C776" s="4">
        <v>18</v>
      </c>
      <c r="D776" s="8">
        <v>1.79</v>
      </c>
      <c r="E776" s="4">
        <v>18</v>
      </c>
      <c r="F776" s="8">
        <v>2.7</v>
      </c>
      <c r="G776" s="4">
        <v>0</v>
      </c>
      <c r="H776" s="8">
        <v>0</v>
      </c>
      <c r="I776" s="4">
        <v>0</v>
      </c>
    </row>
    <row r="777" spans="1:9" x14ac:dyDescent="0.15">
      <c r="A777" s="2">
        <v>11</v>
      </c>
      <c r="B777" s="1" t="s">
        <v>150</v>
      </c>
      <c r="C777" s="4">
        <v>18</v>
      </c>
      <c r="D777" s="8">
        <v>1.79</v>
      </c>
      <c r="E777" s="4">
        <v>9</v>
      </c>
      <c r="F777" s="8">
        <v>1.35</v>
      </c>
      <c r="G777" s="4">
        <v>9</v>
      </c>
      <c r="H777" s="8">
        <v>2.72</v>
      </c>
      <c r="I777" s="4">
        <v>0</v>
      </c>
    </row>
    <row r="778" spans="1:9" x14ac:dyDescent="0.15">
      <c r="A778" s="2">
        <v>14</v>
      </c>
      <c r="B778" s="1" t="s">
        <v>129</v>
      </c>
      <c r="C778" s="4">
        <v>16</v>
      </c>
      <c r="D778" s="8">
        <v>1.6</v>
      </c>
      <c r="E778" s="4">
        <v>12</v>
      </c>
      <c r="F778" s="8">
        <v>1.8</v>
      </c>
      <c r="G778" s="4">
        <v>4</v>
      </c>
      <c r="H778" s="8">
        <v>1.21</v>
      </c>
      <c r="I778" s="4">
        <v>0</v>
      </c>
    </row>
    <row r="779" spans="1:9" x14ac:dyDescent="0.15">
      <c r="A779" s="2">
        <v>14</v>
      </c>
      <c r="B779" s="1" t="s">
        <v>131</v>
      </c>
      <c r="C779" s="4">
        <v>16</v>
      </c>
      <c r="D779" s="8">
        <v>1.6</v>
      </c>
      <c r="E779" s="4">
        <v>10</v>
      </c>
      <c r="F779" s="8">
        <v>1.5</v>
      </c>
      <c r="G779" s="4">
        <v>6</v>
      </c>
      <c r="H779" s="8">
        <v>1.81</v>
      </c>
      <c r="I779" s="4">
        <v>0</v>
      </c>
    </row>
    <row r="780" spans="1:9" x14ac:dyDescent="0.15">
      <c r="A780" s="2">
        <v>14</v>
      </c>
      <c r="B780" s="1" t="s">
        <v>139</v>
      </c>
      <c r="C780" s="4">
        <v>16</v>
      </c>
      <c r="D780" s="8">
        <v>1.6</v>
      </c>
      <c r="E780" s="4">
        <v>12</v>
      </c>
      <c r="F780" s="8">
        <v>1.8</v>
      </c>
      <c r="G780" s="4">
        <v>4</v>
      </c>
      <c r="H780" s="8">
        <v>1.21</v>
      </c>
      <c r="I780" s="4">
        <v>0</v>
      </c>
    </row>
    <row r="781" spans="1:9" x14ac:dyDescent="0.15">
      <c r="A781" s="2">
        <v>17</v>
      </c>
      <c r="B781" s="1" t="s">
        <v>196</v>
      </c>
      <c r="C781" s="4">
        <v>15</v>
      </c>
      <c r="D781" s="8">
        <v>1.5</v>
      </c>
      <c r="E781" s="4">
        <v>11</v>
      </c>
      <c r="F781" s="8">
        <v>1.65</v>
      </c>
      <c r="G781" s="4">
        <v>4</v>
      </c>
      <c r="H781" s="8">
        <v>1.21</v>
      </c>
      <c r="I781" s="4">
        <v>0</v>
      </c>
    </row>
    <row r="782" spans="1:9" x14ac:dyDescent="0.15">
      <c r="A782" s="2">
        <v>17</v>
      </c>
      <c r="B782" s="1" t="s">
        <v>148</v>
      </c>
      <c r="C782" s="4">
        <v>15</v>
      </c>
      <c r="D782" s="8">
        <v>1.5</v>
      </c>
      <c r="E782" s="4">
        <v>13</v>
      </c>
      <c r="F782" s="8">
        <v>1.95</v>
      </c>
      <c r="G782" s="4">
        <v>1</v>
      </c>
      <c r="H782" s="8">
        <v>0.3</v>
      </c>
      <c r="I782" s="4">
        <v>1</v>
      </c>
    </row>
    <row r="783" spans="1:9" x14ac:dyDescent="0.15">
      <c r="A783" s="2">
        <v>17</v>
      </c>
      <c r="B783" s="1" t="s">
        <v>142</v>
      </c>
      <c r="C783" s="4">
        <v>15</v>
      </c>
      <c r="D783" s="8">
        <v>1.5</v>
      </c>
      <c r="E783" s="4">
        <v>12</v>
      </c>
      <c r="F783" s="8">
        <v>1.8</v>
      </c>
      <c r="G783" s="4">
        <v>3</v>
      </c>
      <c r="H783" s="8">
        <v>0.91</v>
      </c>
      <c r="I783" s="4">
        <v>0</v>
      </c>
    </row>
    <row r="784" spans="1:9" x14ac:dyDescent="0.15">
      <c r="A784" s="2">
        <v>20</v>
      </c>
      <c r="B784" s="1" t="s">
        <v>126</v>
      </c>
      <c r="C784" s="4">
        <v>14</v>
      </c>
      <c r="D784" s="8">
        <v>1.4</v>
      </c>
      <c r="E784" s="4">
        <v>7</v>
      </c>
      <c r="F784" s="8">
        <v>1.05</v>
      </c>
      <c r="G784" s="4">
        <v>7</v>
      </c>
      <c r="H784" s="8">
        <v>2.11</v>
      </c>
      <c r="I784" s="4">
        <v>0</v>
      </c>
    </row>
    <row r="785" spans="1:9" x14ac:dyDescent="0.15">
      <c r="A785" s="2">
        <v>20</v>
      </c>
      <c r="B785" s="1" t="s">
        <v>167</v>
      </c>
      <c r="C785" s="4">
        <v>14</v>
      </c>
      <c r="D785" s="8">
        <v>1.4</v>
      </c>
      <c r="E785" s="4">
        <v>10</v>
      </c>
      <c r="F785" s="8">
        <v>1.5</v>
      </c>
      <c r="G785" s="4">
        <v>4</v>
      </c>
      <c r="H785" s="8">
        <v>1.21</v>
      </c>
      <c r="I785" s="4">
        <v>0</v>
      </c>
    </row>
    <row r="786" spans="1:9" x14ac:dyDescent="0.15">
      <c r="A786" s="2">
        <v>20</v>
      </c>
      <c r="B786" s="1" t="s">
        <v>135</v>
      </c>
      <c r="C786" s="4">
        <v>14</v>
      </c>
      <c r="D786" s="8">
        <v>1.4</v>
      </c>
      <c r="E786" s="4">
        <v>13</v>
      </c>
      <c r="F786" s="8">
        <v>1.95</v>
      </c>
      <c r="G786" s="4">
        <v>1</v>
      </c>
      <c r="H786" s="8">
        <v>0.3</v>
      </c>
      <c r="I786" s="4">
        <v>0</v>
      </c>
    </row>
    <row r="787" spans="1:9" x14ac:dyDescent="0.15">
      <c r="A787" s="1"/>
      <c r="C787" s="4"/>
      <c r="D787" s="8"/>
      <c r="E787" s="4"/>
      <c r="F787" s="8"/>
      <c r="G787" s="4"/>
      <c r="H787" s="8"/>
      <c r="I787" s="4"/>
    </row>
    <row r="788" spans="1:9" x14ac:dyDescent="0.15">
      <c r="A788" s="1" t="s">
        <v>35</v>
      </c>
      <c r="C788" s="4"/>
      <c r="D788" s="8"/>
      <c r="E788" s="4"/>
      <c r="F788" s="8"/>
      <c r="G788" s="4"/>
      <c r="H788" s="8"/>
      <c r="I788" s="4"/>
    </row>
    <row r="789" spans="1:9" x14ac:dyDescent="0.15">
      <c r="A789" s="2">
        <v>1</v>
      </c>
      <c r="B789" s="1" t="s">
        <v>197</v>
      </c>
      <c r="C789" s="4">
        <v>78</v>
      </c>
      <c r="D789" s="8">
        <v>5.58</v>
      </c>
      <c r="E789" s="4">
        <v>72</v>
      </c>
      <c r="F789" s="8">
        <v>6.94</v>
      </c>
      <c r="G789" s="4">
        <v>6</v>
      </c>
      <c r="H789" s="8">
        <v>1.69</v>
      </c>
      <c r="I789" s="4">
        <v>0</v>
      </c>
    </row>
    <row r="790" spans="1:9" x14ac:dyDescent="0.15">
      <c r="A790" s="2">
        <v>2</v>
      </c>
      <c r="B790" s="1" t="s">
        <v>138</v>
      </c>
      <c r="C790" s="4">
        <v>56</v>
      </c>
      <c r="D790" s="8">
        <v>4.01</v>
      </c>
      <c r="E790" s="4">
        <v>52</v>
      </c>
      <c r="F790" s="8">
        <v>5.01</v>
      </c>
      <c r="G790" s="4">
        <v>4</v>
      </c>
      <c r="H790" s="8">
        <v>1.1200000000000001</v>
      </c>
      <c r="I790" s="4">
        <v>0</v>
      </c>
    </row>
    <row r="791" spans="1:9" x14ac:dyDescent="0.15">
      <c r="A791" s="2">
        <v>3</v>
      </c>
      <c r="B791" s="1" t="s">
        <v>125</v>
      </c>
      <c r="C791" s="4">
        <v>55</v>
      </c>
      <c r="D791" s="8">
        <v>3.93</v>
      </c>
      <c r="E791" s="4">
        <v>10</v>
      </c>
      <c r="F791" s="8">
        <v>0.96</v>
      </c>
      <c r="G791" s="4">
        <v>45</v>
      </c>
      <c r="H791" s="8">
        <v>12.64</v>
      </c>
      <c r="I791" s="4">
        <v>0</v>
      </c>
    </row>
    <row r="792" spans="1:9" x14ac:dyDescent="0.15">
      <c r="A792" s="2">
        <v>4</v>
      </c>
      <c r="B792" s="1" t="s">
        <v>141</v>
      </c>
      <c r="C792" s="4">
        <v>54</v>
      </c>
      <c r="D792" s="8">
        <v>3.86</v>
      </c>
      <c r="E792" s="4">
        <v>52</v>
      </c>
      <c r="F792" s="8">
        <v>5.01</v>
      </c>
      <c r="G792" s="4">
        <v>2</v>
      </c>
      <c r="H792" s="8">
        <v>0.56000000000000005</v>
      </c>
      <c r="I792" s="4">
        <v>0</v>
      </c>
    </row>
    <row r="793" spans="1:9" x14ac:dyDescent="0.15">
      <c r="A793" s="2">
        <v>5</v>
      </c>
      <c r="B793" s="1" t="s">
        <v>140</v>
      </c>
      <c r="C793" s="4">
        <v>44</v>
      </c>
      <c r="D793" s="8">
        <v>3.15</v>
      </c>
      <c r="E793" s="4">
        <v>43</v>
      </c>
      <c r="F793" s="8">
        <v>4.1399999999999997</v>
      </c>
      <c r="G793" s="4">
        <v>1</v>
      </c>
      <c r="H793" s="8">
        <v>0.28000000000000003</v>
      </c>
      <c r="I793" s="4">
        <v>0</v>
      </c>
    </row>
    <row r="794" spans="1:9" x14ac:dyDescent="0.15">
      <c r="A794" s="2">
        <v>6</v>
      </c>
      <c r="B794" s="1" t="s">
        <v>132</v>
      </c>
      <c r="C794" s="4">
        <v>42</v>
      </c>
      <c r="D794" s="8">
        <v>3</v>
      </c>
      <c r="E794" s="4">
        <v>32</v>
      </c>
      <c r="F794" s="8">
        <v>3.08</v>
      </c>
      <c r="G794" s="4">
        <v>10</v>
      </c>
      <c r="H794" s="8">
        <v>2.81</v>
      </c>
      <c r="I794" s="4">
        <v>0</v>
      </c>
    </row>
    <row r="795" spans="1:9" x14ac:dyDescent="0.15">
      <c r="A795" s="2">
        <v>7</v>
      </c>
      <c r="B795" s="1" t="s">
        <v>129</v>
      </c>
      <c r="C795" s="4">
        <v>39</v>
      </c>
      <c r="D795" s="8">
        <v>2.79</v>
      </c>
      <c r="E795" s="4">
        <v>37</v>
      </c>
      <c r="F795" s="8">
        <v>3.56</v>
      </c>
      <c r="G795" s="4">
        <v>2</v>
      </c>
      <c r="H795" s="8">
        <v>0.56000000000000005</v>
      </c>
      <c r="I795" s="4">
        <v>0</v>
      </c>
    </row>
    <row r="796" spans="1:9" x14ac:dyDescent="0.15">
      <c r="A796" s="2">
        <v>8</v>
      </c>
      <c r="B796" s="1" t="s">
        <v>198</v>
      </c>
      <c r="C796" s="4">
        <v>30</v>
      </c>
      <c r="D796" s="8">
        <v>2.15</v>
      </c>
      <c r="E796" s="4">
        <v>20</v>
      </c>
      <c r="F796" s="8">
        <v>1.93</v>
      </c>
      <c r="G796" s="4">
        <v>10</v>
      </c>
      <c r="H796" s="8">
        <v>2.81</v>
      </c>
      <c r="I796" s="4">
        <v>0</v>
      </c>
    </row>
    <row r="797" spans="1:9" x14ac:dyDescent="0.15">
      <c r="A797" s="2">
        <v>9</v>
      </c>
      <c r="B797" s="1" t="s">
        <v>155</v>
      </c>
      <c r="C797" s="4">
        <v>28</v>
      </c>
      <c r="D797" s="8">
        <v>2</v>
      </c>
      <c r="E797" s="4">
        <v>26</v>
      </c>
      <c r="F797" s="8">
        <v>2.5</v>
      </c>
      <c r="G797" s="4">
        <v>2</v>
      </c>
      <c r="H797" s="8">
        <v>0.56000000000000005</v>
      </c>
      <c r="I797" s="4">
        <v>0</v>
      </c>
    </row>
    <row r="798" spans="1:9" x14ac:dyDescent="0.15">
      <c r="A798" s="2">
        <v>9</v>
      </c>
      <c r="B798" s="1" t="s">
        <v>130</v>
      </c>
      <c r="C798" s="4">
        <v>28</v>
      </c>
      <c r="D798" s="8">
        <v>2</v>
      </c>
      <c r="E798" s="4">
        <v>21</v>
      </c>
      <c r="F798" s="8">
        <v>2.02</v>
      </c>
      <c r="G798" s="4">
        <v>7</v>
      </c>
      <c r="H798" s="8">
        <v>1.97</v>
      </c>
      <c r="I798" s="4">
        <v>0</v>
      </c>
    </row>
    <row r="799" spans="1:9" x14ac:dyDescent="0.15">
      <c r="A799" s="2">
        <v>9</v>
      </c>
      <c r="B799" s="1" t="s">
        <v>134</v>
      </c>
      <c r="C799" s="4">
        <v>28</v>
      </c>
      <c r="D799" s="8">
        <v>2</v>
      </c>
      <c r="E799" s="4">
        <v>17</v>
      </c>
      <c r="F799" s="8">
        <v>1.64</v>
      </c>
      <c r="G799" s="4">
        <v>11</v>
      </c>
      <c r="H799" s="8">
        <v>3.09</v>
      </c>
      <c r="I799" s="4">
        <v>0</v>
      </c>
    </row>
    <row r="800" spans="1:9" x14ac:dyDescent="0.15">
      <c r="A800" s="2">
        <v>12</v>
      </c>
      <c r="B800" s="1" t="s">
        <v>143</v>
      </c>
      <c r="C800" s="4">
        <v>27</v>
      </c>
      <c r="D800" s="8">
        <v>1.93</v>
      </c>
      <c r="E800" s="4">
        <v>26</v>
      </c>
      <c r="F800" s="8">
        <v>2.5</v>
      </c>
      <c r="G800" s="4">
        <v>1</v>
      </c>
      <c r="H800" s="8">
        <v>0.28000000000000003</v>
      </c>
      <c r="I800" s="4">
        <v>0</v>
      </c>
    </row>
    <row r="801" spans="1:9" x14ac:dyDescent="0.15">
      <c r="A801" s="2">
        <v>13</v>
      </c>
      <c r="B801" s="1" t="s">
        <v>144</v>
      </c>
      <c r="C801" s="4">
        <v>26</v>
      </c>
      <c r="D801" s="8">
        <v>1.86</v>
      </c>
      <c r="E801" s="4">
        <v>22</v>
      </c>
      <c r="F801" s="8">
        <v>2.12</v>
      </c>
      <c r="G801" s="4">
        <v>4</v>
      </c>
      <c r="H801" s="8">
        <v>1.1200000000000001</v>
      </c>
      <c r="I801" s="4">
        <v>0</v>
      </c>
    </row>
    <row r="802" spans="1:9" x14ac:dyDescent="0.15">
      <c r="A802" s="2">
        <v>14</v>
      </c>
      <c r="B802" s="1" t="s">
        <v>170</v>
      </c>
      <c r="C802" s="4">
        <v>25</v>
      </c>
      <c r="D802" s="8">
        <v>1.79</v>
      </c>
      <c r="E802" s="4">
        <v>21</v>
      </c>
      <c r="F802" s="8">
        <v>2.02</v>
      </c>
      <c r="G802" s="4">
        <v>4</v>
      </c>
      <c r="H802" s="8">
        <v>1.1200000000000001</v>
      </c>
      <c r="I802" s="4">
        <v>0</v>
      </c>
    </row>
    <row r="803" spans="1:9" x14ac:dyDescent="0.15">
      <c r="A803" s="2">
        <v>15</v>
      </c>
      <c r="B803" s="1" t="s">
        <v>151</v>
      </c>
      <c r="C803" s="4">
        <v>24</v>
      </c>
      <c r="D803" s="8">
        <v>1.72</v>
      </c>
      <c r="E803" s="4">
        <v>23</v>
      </c>
      <c r="F803" s="8">
        <v>2.2200000000000002</v>
      </c>
      <c r="G803" s="4">
        <v>1</v>
      </c>
      <c r="H803" s="8">
        <v>0.28000000000000003</v>
      </c>
      <c r="I803" s="4">
        <v>0</v>
      </c>
    </row>
    <row r="804" spans="1:9" x14ac:dyDescent="0.15">
      <c r="A804" s="2">
        <v>16</v>
      </c>
      <c r="B804" s="1" t="s">
        <v>167</v>
      </c>
      <c r="C804" s="4">
        <v>23</v>
      </c>
      <c r="D804" s="8">
        <v>1.65</v>
      </c>
      <c r="E804" s="4">
        <v>20</v>
      </c>
      <c r="F804" s="8">
        <v>1.93</v>
      </c>
      <c r="G804" s="4">
        <v>3</v>
      </c>
      <c r="H804" s="8">
        <v>0.84</v>
      </c>
      <c r="I804" s="4">
        <v>0</v>
      </c>
    </row>
    <row r="805" spans="1:9" x14ac:dyDescent="0.15">
      <c r="A805" s="2">
        <v>16</v>
      </c>
      <c r="B805" s="1" t="s">
        <v>199</v>
      </c>
      <c r="C805" s="4">
        <v>23</v>
      </c>
      <c r="D805" s="8">
        <v>1.65</v>
      </c>
      <c r="E805" s="4">
        <v>21</v>
      </c>
      <c r="F805" s="8">
        <v>2.02</v>
      </c>
      <c r="G805" s="4">
        <v>2</v>
      </c>
      <c r="H805" s="8">
        <v>0.56000000000000005</v>
      </c>
      <c r="I805" s="4">
        <v>0</v>
      </c>
    </row>
    <row r="806" spans="1:9" x14ac:dyDescent="0.15">
      <c r="A806" s="2">
        <v>16</v>
      </c>
      <c r="B806" s="1" t="s">
        <v>139</v>
      </c>
      <c r="C806" s="4">
        <v>23</v>
      </c>
      <c r="D806" s="8">
        <v>1.65</v>
      </c>
      <c r="E806" s="4">
        <v>20</v>
      </c>
      <c r="F806" s="8">
        <v>1.93</v>
      </c>
      <c r="G806" s="4">
        <v>3</v>
      </c>
      <c r="H806" s="8">
        <v>0.84</v>
      </c>
      <c r="I806" s="4">
        <v>0</v>
      </c>
    </row>
    <row r="807" spans="1:9" x14ac:dyDescent="0.15">
      <c r="A807" s="2">
        <v>19</v>
      </c>
      <c r="B807" s="1" t="s">
        <v>181</v>
      </c>
      <c r="C807" s="4">
        <v>22</v>
      </c>
      <c r="D807" s="8">
        <v>1.57</v>
      </c>
      <c r="E807" s="4">
        <v>22</v>
      </c>
      <c r="F807" s="8">
        <v>2.12</v>
      </c>
      <c r="G807" s="4">
        <v>0</v>
      </c>
      <c r="H807" s="8">
        <v>0</v>
      </c>
      <c r="I807" s="4">
        <v>0</v>
      </c>
    </row>
    <row r="808" spans="1:9" x14ac:dyDescent="0.15">
      <c r="A808" s="2">
        <v>19</v>
      </c>
      <c r="B808" s="1" t="s">
        <v>135</v>
      </c>
      <c r="C808" s="4">
        <v>22</v>
      </c>
      <c r="D808" s="8">
        <v>1.57</v>
      </c>
      <c r="E808" s="4">
        <v>20</v>
      </c>
      <c r="F808" s="8">
        <v>1.93</v>
      </c>
      <c r="G808" s="4">
        <v>2</v>
      </c>
      <c r="H808" s="8">
        <v>0.56000000000000005</v>
      </c>
      <c r="I808" s="4">
        <v>0</v>
      </c>
    </row>
    <row r="809" spans="1:9" x14ac:dyDescent="0.15">
      <c r="A809" s="1"/>
      <c r="C809" s="4"/>
      <c r="D809" s="8"/>
      <c r="E809" s="4"/>
      <c r="F809" s="8"/>
      <c r="G809" s="4"/>
      <c r="H809" s="8"/>
      <c r="I809" s="4"/>
    </row>
    <row r="810" spans="1:9" x14ac:dyDescent="0.15">
      <c r="A810" s="1" t="s">
        <v>36</v>
      </c>
      <c r="C810" s="4"/>
      <c r="D810" s="8"/>
      <c r="E810" s="4"/>
      <c r="F810" s="8"/>
      <c r="G810" s="4"/>
      <c r="H810" s="8"/>
      <c r="I810" s="4"/>
    </row>
    <row r="811" spans="1:9" x14ac:dyDescent="0.15">
      <c r="A811" s="2">
        <v>1</v>
      </c>
      <c r="B811" s="1" t="s">
        <v>192</v>
      </c>
      <c r="C811" s="4">
        <v>240</v>
      </c>
      <c r="D811" s="8">
        <v>15.15</v>
      </c>
      <c r="E811" s="4">
        <v>195</v>
      </c>
      <c r="F811" s="8">
        <v>16.8</v>
      </c>
      <c r="G811" s="4">
        <v>45</v>
      </c>
      <c r="H811" s="8">
        <v>10.64</v>
      </c>
      <c r="I811" s="4">
        <v>0</v>
      </c>
    </row>
    <row r="812" spans="1:9" x14ac:dyDescent="0.15">
      <c r="A812" s="2">
        <v>2</v>
      </c>
      <c r="B812" s="1" t="s">
        <v>125</v>
      </c>
      <c r="C812" s="4">
        <v>73</v>
      </c>
      <c r="D812" s="8">
        <v>4.6100000000000003</v>
      </c>
      <c r="E812" s="4">
        <v>29</v>
      </c>
      <c r="F812" s="8">
        <v>2.5</v>
      </c>
      <c r="G812" s="4">
        <v>44</v>
      </c>
      <c r="H812" s="8">
        <v>10.4</v>
      </c>
      <c r="I812" s="4">
        <v>0</v>
      </c>
    </row>
    <row r="813" spans="1:9" x14ac:dyDescent="0.15">
      <c r="A813" s="2">
        <v>3</v>
      </c>
      <c r="B813" s="1" t="s">
        <v>141</v>
      </c>
      <c r="C813" s="4">
        <v>69</v>
      </c>
      <c r="D813" s="8">
        <v>4.3600000000000003</v>
      </c>
      <c r="E813" s="4">
        <v>67</v>
      </c>
      <c r="F813" s="8">
        <v>5.77</v>
      </c>
      <c r="G813" s="4">
        <v>2</v>
      </c>
      <c r="H813" s="8">
        <v>0.47</v>
      </c>
      <c r="I813" s="4">
        <v>0</v>
      </c>
    </row>
    <row r="814" spans="1:9" x14ac:dyDescent="0.15">
      <c r="A814" s="2">
        <v>4</v>
      </c>
      <c r="B814" s="1" t="s">
        <v>167</v>
      </c>
      <c r="C814" s="4">
        <v>48</v>
      </c>
      <c r="D814" s="8">
        <v>3.03</v>
      </c>
      <c r="E814" s="4">
        <v>34</v>
      </c>
      <c r="F814" s="8">
        <v>2.93</v>
      </c>
      <c r="G814" s="4">
        <v>14</v>
      </c>
      <c r="H814" s="8">
        <v>3.31</v>
      </c>
      <c r="I814" s="4">
        <v>0</v>
      </c>
    </row>
    <row r="815" spans="1:9" x14ac:dyDescent="0.15">
      <c r="A815" s="2">
        <v>5</v>
      </c>
      <c r="B815" s="1" t="s">
        <v>140</v>
      </c>
      <c r="C815" s="4">
        <v>44</v>
      </c>
      <c r="D815" s="8">
        <v>2.78</v>
      </c>
      <c r="E815" s="4">
        <v>44</v>
      </c>
      <c r="F815" s="8">
        <v>3.79</v>
      </c>
      <c r="G815" s="4">
        <v>0</v>
      </c>
      <c r="H815" s="8">
        <v>0</v>
      </c>
      <c r="I815" s="4">
        <v>0</v>
      </c>
    </row>
    <row r="816" spans="1:9" x14ac:dyDescent="0.15">
      <c r="A816" s="2">
        <v>6</v>
      </c>
      <c r="B816" s="1" t="s">
        <v>143</v>
      </c>
      <c r="C816" s="4">
        <v>39</v>
      </c>
      <c r="D816" s="8">
        <v>2.46</v>
      </c>
      <c r="E816" s="4">
        <v>38</v>
      </c>
      <c r="F816" s="8">
        <v>3.27</v>
      </c>
      <c r="G816" s="4">
        <v>1</v>
      </c>
      <c r="H816" s="8">
        <v>0.24</v>
      </c>
      <c r="I816" s="4">
        <v>0</v>
      </c>
    </row>
    <row r="817" spans="1:9" x14ac:dyDescent="0.15">
      <c r="A817" s="2">
        <v>7</v>
      </c>
      <c r="B817" s="1" t="s">
        <v>127</v>
      </c>
      <c r="C817" s="4">
        <v>36</v>
      </c>
      <c r="D817" s="8">
        <v>2.27</v>
      </c>
      <c r="E817" s="4">
        <v>27</v>
      </c>
      <c r="F817" s="8">
        <v>2.33</v>
      </c>
      <c r="G817" s="4">
        <v>9</v>
      </c>
      <c r="H817" s="8">
        <v>2.13</v>
      </c>
      <c r="I817" s="4">
        <v>0</v>
      </c>
    </row>
    <row r="818" spans="1:9" x14ac:dyDescent="0.15">
      <c r="A818" s="2">
        <v>8</v>
      </c>
      <c r="B818" s="1" t="s">
        <v>138</v>
      </c>
      <c r="C818" s="4">
        <v>31</v>
      </c>
      <c r="D818" s="8">
        <v>1.96</v>
      </c>
      <c r="E818" s="4">
        <v>31</v>
      </c>
      <c r="F818" s="8">
        <v>2.67</v>
      </c>
      <c r="G818" s="4">
        <v>0</v>
      </c>
      <c r="H818" s="8">
        <v>0</v>
      </c>
      <c r="I818" s="4">
        <v>0</v>
      </c>
    </row>
    <row r="819" spans="1:9" x14ac:dyDescent="0.15">
      <c r="A819" s="2">
        <v>9</v>
      </c>
      <c r="B819" s="1" t="s">
        <v>132</v>
      </c>
      <c r="C819" s="4">
        <v>29</v>
      </c>
      <c r="D819" s="8">
        <v>1.83</v>
      </c>
      <c r="E819" s="4">
        <v>23</v>
      </c>
      <c r="F819" s="8">
        <v>1.98</v>
      </c>
      <c r="G819" s="4">
        <v>6</v>
      </c>
      <c r="H819" s="8">
        <v>1.42</v>
      </c>
      <c r="I819" s="4">
        <v>0</v>
      </c>
    </row>
    <row r="820" spans="1:9" x14ac:dyDescent="0.15">
      <c r="A820" s="2">
        <v>9</v>
      </c>
      <c r="B820" s="1" t="s">
        <v>134</v>
      </c>
      <c r="C820" s="4">
        <v>29</v>
      </c>
      <c r="D820" s="8">
        <v>1.83</v>
      </c>
      <c r="E820" s="4">
        <v>27</v>
      </c>
      <c r="F820" s="8">
        <v>2.33</v>
      </c>
      <c r="G820" s="4">
        <v>2</v>
      </c>
      <c r="H820" s="8">
        <v>0.47</v>
      </c>
      <c r="I820" s="4">
        <v>0</v>
      </c>
    </row>
    <row r="821" spans="1:9" x14ac:dyDescent="0.15">
      <c r="A821" s="2">
        <v>11</v>
      </c>
      <c r="B821" s="1" t="s">
        <v>188</v>
      </c>
      <c r="C821" s="4">
        <v>28</v>
      </c>
      <c r="D821" s="8">
        <v>1.77</v>
      </c>
      <c r="E821" s="4">
        <v>25</v>
      </c>
      <c r="F821" s="8">
        <v>2.15</v>
      </c>
      <c r="G821" s="4">
        <v>3</v>
      </c>
      <c r="H821" s="8">
        <v>0.71</v>
      </c>
      <c r="I821" s="4">
        <v>0</v>
      </c>
    </row>
    <row r="822" spans="1:9" x14ac:dyDescent="0.15">
      <c r="A822" s="2">
        <v>12</v>
      </c>
      <c r="B822" s="1" t="s">
        <v>130</v>
      </c>
      <c r="C822" s="4">
        <v>27</v>
      </c>
      <c r="D822" s="8">
        <v>1.7</v>
      </c>
      <c r="E822" s="4">
        <v>19</v>
      </c>
      <c r="F822" s="8">
        <v>1.64</v>
      </c>
      <c r="G822" s="4">
        <v>8</v>
      </c>
      <c r="H822" s="8">
        <v>1.89</v>
      </c>
      <c r="I822" s="4">
        <v>0</v>
      </c>
    </row>
    <row r="823" spans="1:9" x14ac:dyDescent="0.15">
      <c r="A823" s="2">
        <v>13</v>
      </c>
      <c r="B823" s="1" t="s">
        <v>126</v>
      </c>
      <c r="C823" s="4">
        <v>26</v>
      </c>
      <c r="D823" s="8">
        <v>1.64</v>
      </c>
      <c r="E823" s="4">
        <v>14</v>
      </c>
      <c r="F823" s="8">
        <v>1.21</v>
      </c>
      <c r="G823" s="4">
        <v>12</v>
      </c>
      <c r="H823" s="8">
        <v>2.84</v>
      </c>
      <c r="I823" s="4">
        <v>0</v>
      </c>
    </row>
    <row r="824" spans="1:9" x14ac:dyDescent="0.15">
      <c r="A824" s="2">
        <v>14</v>
      </c>
      <c r="B824" s="1" t="s">
        <v>181</v>
      </c>
      <c r="C824" s="4">
        <v>25</v>
      </c>
      <c r="D824" s="8">
        <v>1.58</v>
      </c>
      <c r="E824" s="4">
        <v>23</v>
      </c>
      <c r="F824" s="8">
        <v>1.98</v>
      </c>
      <c r="G824" s="4">
        <v>2</v>
      </c>
      <c r="H824" s="8">
        <v>0.47</v>
      </c>
      <c r="I824" s="4">
        <v>0</v>
      </c>
    </row>
    <row r="825" spans="1:9" x14ac:dyDescent="0.15">
      <c r="A825" s="2">
        <v>15</v>
      </c>
      <c r="B825" s="1" t="s">
        <v>144</v>
      </c>
      <c r="C825" s="4">
        <v>24</v>
      </c>
      <c r="D825" s="8">
        <v>1.52</v>
      </c>
      <c r="E825" s="4">
        <v>23</v>
      </c>
      <c r="F825" s="8">
        <v>1.98</v>
      </c>
      <c r="G825" s="4">
        <v>1</v>
      </c>
      <c r="H825" s="8">
        <v>0.24</v>
      </c>
      <c r="I825" s="4">
        <v>0</v>
      </c>
    </row>
    <row r="826" spans="1:9" x14ac:dyDescent="0.15">
      <c r="A826" s="2">
        <v>16</v>
      </c>
      <c r="B826" s="1" t="s">
        <v>129</v>
      </c>
      <c r="C826" s="4">
        <v>22</v>
      </c>
      <c r="D826" s="8">
        <v>1.39</v>
      </c>
      <c r="E826" s="4">
        <v>20</v>
      </c>
      <c r="F826" s="8">
        <v>1.72</v>
      </c>
      <c r="G826" s="4">
        <v>2</v>
      </c>
      <c r="H826" s="8">
        <v>0.47</v>
      </c>
      <c r="I826" s="4">
        <v>0</v>
      </c>
    </row>
    <row r="827" spans="1:9" x14ac:dyDescent="0.15">
      <c r="A827" s="2">
        <v>17</v>
      </c>
      <c r="B827" s="1" t="s">
        <v>131</v>
      </c>
      <c r="C827" s="4">
        <v>21</v>
      </c>
      <c r="D827" s="8">
        <v>1.33</v>
      </c>
      <c r="E827" s="4">
        <v>13</v>
      </c>
      <c r="F827" s="8">
        <v>1.1200000000000001</v>
      </c>
      <c r="G827" s="4">
        <v>8</v>
      </c>
      <c r="H827" s="8">
        <v>1.89</v>
      </c>
      <c r="I827" s="4">
        <v>0</v>
      </c>
    </row>
    <row r="828" spans="1:9" x14ac:dyDescent="0.15">
      <c r="A828" s="2">
        <v>18</v>
      </c>
      <c r="B828" s="1" t="s">
        <v>172</v>
      </c>
      <c r="C828" s="4">
        <v>20</v>
      </c>
      <c r="D828" s="8">
        <v>1.26</v>
      </c>
      <c r="E828" s="4">
        <v>8</v>
      </c>
      <c r="F828" s="8">
        <v>0.69</v>
      </c>
      <c r="G828" s="4">
        <v>12</v>
      </c>
      <c r="H828" s="8">
        <v>2.84</v>
      </c>
      <c r="I828" s="4">
        <v>0</v>
      </c>
    </row>
    <row r="829" spans="1:9" x14ac:dyDescent="0.15">
      <c r="A829" s="2">
        <v>19</v>
      </c>
      <c r="B829" s="1" t="s">
        <v>128</v>
      </c>
      <c r="C829" s="4">
        <v>19</v>
      </c>
      <c r="D829" s="8">
        <v>1.2</v>
      </c>
      <c r="E829" s="4">
        <v>13</v>
      </c>
      <c r="F829" s="8">
        <v>1.1200000000000001</v>
      </c>
      <c r="G829" s="4">
        <v>6</v>
      </c>
      <c r="H829" s="8">
        <v>1.42</v>
      </c>
      <c r="I829" s="4">
        <v>0</v>
      </c>
    </row>
    <row r="830" spans="1:9" x14ac:dyDescent="0.15">
      <c r="A830" s="2">
        <v>20</v>
      </c>
      <c r="B830" s="1" t="s">
        <v>160</v>
      </c>
      <c r="C830" s="4">
        <v>18</v>
      </c>
      <c r="D830" s="8">
        <v>1.1399999999999999</v>
      </c>
      <c r="E830" s="4">
        <v>8</v>
      </c>
      <c r="F830" s="8">
        <v>0.69</v>
      </c>
      <c r="G830" s="4">
        <v>10</v>
      </c>
      <c r="H830" s="8">
        <v>2.36</v>
      </c>
      <c r="I830" s="4">
        <v>0</v>
      </c>
    </row>
    <row r="831" spans="1:9" x14ac:dyDescent="0.15">
      <c r="A831" s="2">
        <v>20</v>
      </c>
      <c r="B831" s="1" t="s">
        <v>155</v>
      </c>
      <c r="C831" s="4">
        <v>18</v>
      </c>
      <c r="D831" s="8">
        <v>1.1399999999999999</v>
      </c>
      <c r="E831" s="4">
        <v>17</v>
      </c>
      <c r="F831" s="8">
        <v>1.46</v>
      </c>
      <c r="G831" s="4">
        <v>1</v>
      </c>
      <c r="H831" s="8">
        <v>0.24</v>
      </c>
      <c r="I831" s="4">
        <v>0</v>
      </c>
    </row>
    <row r="832" spans="1:9" x14ac:dyDescent="0.15">
      <c r="A832" s="1"/>
      <c r="C832" s="4"/>
      <c r="D832" s="8"/>
      <c r="E832" s="4"/>
      <c r="F832" s="8"/>
      <c r="G832" s="4"/>
      <c r="H832" s="8"/>
      <c r="I832" s="4"/>
    </row>
    <row r="833" spans="1:9" x14ac:dyDescent="0.15">
      <c r="A833" s="1" t="s">
        <v>37</v>
      </c>
      <c r="C833" s="4"/>
      <c r="D833" s="8"/>
      <c r="E833" s="4"/>
      <c r="F833" s="8"/>
      <c r="G833" s="4"/>
      <c r="H833" s="8"/>
      <c r="I833" s="4"/>
    </row>
    <row r="834" spans="1:9" x14ac:dyDescent="0.15">
      <c r="A834" s="2">
        <v>1</v>
      </c>
      <c r="B834" s="1" t="s">
        <v>141</v>
      </c>
      <c r="C834" s="4">
        <v>40</v>
      </c>
      <c r="D834" s="8">
        <v>4.0199999999999996</v>
      </c>
      <c r="E834" s="4">
        <v>38</v>
      </c>
      <c r="F834" s="8">
        <v>6.38</v>
      </c>
      <c r="G834" s="4">
        <v>2</v>
      </c>
      <c r="H834" s="8">
        <v>0.5</v>
      </c>
      <c r="I834" s="4">
        <v>0</v>
      </c>
    </row>
    <row r="835" spans="1:9" x14ac:dyDescent="0.15">
      <c r="A835" s="2">
        <v>2</v>
      </c>
      <c r="B835" s="1" t="s">
        <v>125</v>
      </c>
      <c r="C835" s="4">
        <v>34</v>
      </c>
      <c r="D835" s="8">
        <v>3.41</v>
      </c>
      <c r="E835" s="4">
        <v>15</v>
      </c>
      <c r="F835" s="8">
        <v>2.52</v>
      </c>
      <c r="G835" s="4">
        <v>19</v>
      </c>
      <c r="H835" s="8">
        <v>4.79</v>
      </c>
      <c r="I835" s="4">
        <v>0</v>
      </c>
    </row>
    <row r="836" spans="1:9" x14ac:dyDescent="0.15">
      <c r="A836" s="2">
        <v>3</v>
      </c>
      <c r="B836" s="1" t="s">
        <v>130</v>
      </c>
      <c r="C836" s="4">
        <v>29</v>
      </c>
      <c r="D836" s="8">
        <v>2.91</v>
      </c>
      <c r="E836" s="4">
        <v>16</v>
      </c>
      <c r="F836" s="8">
        <v>2.68</v>
      </c>
      <c r="G836" s="4">
        <v>13</v>
      </c>
      <c r="H836" s="8">
        <v>3.27</v>
      </c>
      <c r="I836" s="4">
        <v>0</v>
      </c>
    </row>
    <row r="837" spans="1:9" x14ac:dyDescent="0.15">
      <c r="A837" s="2">
        <v>3</v>
      </c>
      <c r="B837" s="1" t="s">
        <v>134</v>
      </c>
      <c r="C837" s="4">
        <v>29</v>
      </c>
      <c r="D837" s="8">
        <v>2.91</v>
      </c>
      <c r="E837" s="4">
        <v>20</v>
      </c>
      <c r="F837" s="8">
        <v>3.36</v>
      </c>
      <c r="G837" s="4">
        <v>9</v>
      </c>
      <c r="H837" s="8">
        <v>2.27</v>
      </c>
      <c r="I837" s="4">
        <v>0</v>
      </c>
    </row>
    <row r="838" spans="1:9" x14ac:dyDescent="0.15">
      <c r="A838" s="2">
        <v>3</v>
      </c>
      <c r="B838" s="1" t="s">
        <v>138</v>
      </c>
      <c r="C838" s="4">
        <v>29</v>
      </c>
      <c r="D838" s="8">
        <v>2.91</v>
      </c>
      <c r="E838" s="4">
        <v>28</v>
      </c>
      <c r="F838" s="8">
        <v>4.7</v>
      </c>
      <c r="G838" s="4">
        <v>1</v>
      </c>
      <c r="H838" s="8">
        <v>0.25</v>
      </c>
      <c r="I838" s="4">
        <v>0</v>
      </c>
    </row>
    <row r="839" spans="1:9" x14ac:dyDescent="0.15">
      <c r="A839" s="2">
        <v>6</v>
      </c>
      <c r="B839" s="1" t="s">
        <v>140</v>
      </c>
      <c r="C839" s="4">
        <v>27</v>
      </c>
      <c r="D839" s="8">
        <v>2.71</v>
      </c>
      <c r="E839" s="4">
        <v>26</v>
      </c>
      <c r="F839" s="8">
        <v>4.3600000000000003</v>
      </c>
      <c r="G839" s="4">
        <v>1</v>
      </c>
      <c r="H839" s="8">
        <v>0.25</v>
      </c>
      <c r="I839" s="4">
        <v>0</v>
      </c>
    </row>
    <row r="840" spans="1:9" x14ac:dyDescent="0.15">
      <c r="A840" s="2">
        <v>7</v>
      </c>
      <c r="B840" s="1" t="s">
        <v>126</v>
      </c>
      <c r="C840" s="4">
        <v>22</v>
      </c>
      <c r="D840" s="8">
        <v>2.21</v>
      </c>
      <c r="E840" s="4">
        <v>7</v>
      </c>
      <c r="F840" s="8">
        <v>1.17</v>
      </c>
      <c r="G840" s="4">
        <v>15</v>
      </c>
      <c r="H840" s="8">
        <v>3.78</v>
      </c>
      <c r="I840" s="4">
        <v>0</v>
      </c>
    </row>
    <row r="841" spans="1:9" x14ac:dyDescent="0.15">
      <c r="A841" s="2">
        <v>8</v>
      </c>
      <c r="B841" s="1" t="s">
        <v>167</v>
      </c>
      <c r="C841" s="4">
        <v>21</v>
      </c>
      <c r="D841" s="8">
        <v>2.11</v>
      </c>
      <c r="E841" s="4">
        <v>16</v>
      </c>
      <c r="F841" s="8">
        <v>2.68</v>
      </c>
      <c r="G841" s="4">
        <v>5</v>
      </c>
      <c r="H841" s="8">
        <v>1.26</v>
      </c>
      <c r="I841" s="4">
        <v>0</v>
      </c>
    </row>
    <row r="842" spans="1:9" x14ac:dyDescent="0.15">
      <c r="A842" s="2">
        <v>8</v>
      </c>
      <c r="B842" s="1" t="s">
        <v>176</v>
      </c>
      <c r="C842" s="4">
        <v>21</v>
      </c>
      <c r="D842" s="8">
        <v>2.11</v>
      </c>
      <c r="E842" s="4">
        <v>8</v>
      </c>
      <c r="F842" s="8">
        <v>1.34</v>
      </c>
      <c r="G842" s="4">
        <v>13</v>
      </c>
      <c r="H842" s="8">
        <v>3.27</v>
      </c>
      <c r="I842" s="4">
        <v>0</v>
      </c>
    </row>
    <row r="843" spans="1:9" x14ac:dyDescent="0.15">
      <c r="A843" s="2">
        <v>8</v>
      </c>
      <c r="B843" s="1" t="s">
        <v>132</v>
      </c>
      <c r="C843" s="4">
        <v>21</v>
      </c>
      <c r="D843" s="8">
        <v>2.11</v>
      </c>
      <c r="E843" s="4">
        <v>13</v>
      </c>
      <c r="F843" s="8">
        <v>2.1800000000000002</v>
      </c>
      <c r="G843" s="4">
        <v>8</v>
      </c>
      <c r="H843" s="8">
        <v>2.02</v>
      </c>
      <c r="I843" s="4">
        <v>0</v>
      </c>
    </row>
    <row r="844" spans="1:9" x14ac:dyDescent="0.15">
      <c r="A844" s="2">
        <v>11</v>
      </c>
      <c r="B844" s="1" t="s">
        <v>136</v>
      </c>
      <c r="C844" s="4">
        <v>19</v>
      </c>
      <c r="D844" s="8">
        <v>1.91</v>
      </c>
      <c r="E844" s="4">
        <v>17</v>
      </c>
      <c r="F844" s="8">
        <v>2.85</v>
      </c>
      <c r="G844" s="4">
        <v>2</v>
      </c>
      <c r="H844" s="8">
        <v>0.5</v>
      </c>
      <c r="I844" s="4">
        <v>0</v>
      </c>
    </row>
    <row r="845" spans="1:9" x14ac:dyDescent="0.15">
      <c r="A845" s="2">
        <v>12</v>
      </c>
      <c r="B845" s="1" t="s">
        <v>171</v>
      </c>
      <c r="C845" s="4">
        <v>18</v>
      </c>
      <c r="D845" s="8">
        <v>1.81</v>
      </c>
      <c r="E845" s="4">
        <v>14</v>
      </c>
      <c r="F845" s="8">
        <v>2.35</v>
      </c>
      <c r="G845" s="4">
        <v>4</v>
      </c>
      <c r="H845" s="8">
        <v>1.01</v>
      </c>
      <c r="I845" s="4">
        <v>0</v>
      </c>
    </row>
    <row r="846" spans="1:9" x14ac:dyDescent="0.15">
      <c r="A846" s="2">
        <v>13</v>
      </c>
      <c r="B846" s="1" t="s">
        <v>146</v>
      </c>
      <c r="C846" s="4">
        <v>17</v>
      </c>
      <c r="D846" s="8">
        <v>1.71</v>
      </c>
      <c r="E846" s="4">
        <v>14</v>
      </c>
      <c r="F846" s="8">
        <v>2.35</v>
      </c>
      <c r="G846" s="4">
        <v>3</v>
      </c>
      <c r="H846" s="8">
        <v>0.76</v>
      </c>
      <c r="I846" s="4">
        <v>0</v>
      </c>
    </row>
    <row r="847" spans="1:9" x14ac:dyDescent="0.15">
      <c r="A847" s="2">
        <v>13</v>
      </c>
      <c r="B847" s="1" t="s">
        <v>166</v>
      </c>
      <c r="C847" s="4">
        <v>17</v>
      </c>
      <c r="D847" s="8">
        <v>1.71</v>
      </c>
      <c r="E847" s="4">
        <v>15</v>
      </c>
      <c r="F847" s="8">
        <v>2.52</v>
      </c>
      <c r="G847" s="4">
        <v>2</v>
      </c>
      <c r="H847" s="8">
        <v>0.5</v>
      </c>
      <c r="I847" s="4">
        <v>0</v>
      </c>
    </row>
    <row r="848" spans="1:9" x14ac:dyDescent="0.15">
      <c r="A848" s="2">
        <v>15</v>
      </c>
      <c r="B848" s="1" t="s">
        <v>200</v>
      </c>
      <c r="C848" s="4">
        <v>16</v>
      </c>
      <c r="D848" s="8">
        <v>1.61</v>
      </c>
      <c r="E848" s="4">
        <v>9</v>
      </c>
      <c r="F848" s="8">
        <v>1.51</v>
      </c>
      <c r="G848" s="4">
        <v>7</v>
      </c>
      <c r="H848" s="8">
        <v>1.76</v>
      </c>
      <c r="I848" s="4">
        <v>0</v>
      </c>
    </row>
    <row r="849" spans="1:9" x14ac:dyDescent="0.15">
      <c r="A849" s="2">
        <v>16</v>
      </c>
      <c r="B849" s="1" t="s">
        <v>127</v>
      </c>
      <c r="C849" s="4">
        <v>15</v>
      </c>
      <c r="D849" s="8">
        <v>1.51</v>
      </c>
      <c r="E849" s="4">
        <v>8</v>
      </c>
      <c r="F849" s="8">
        <v>1.34</v>
      </c>
      <c r="G849" s="4">
        <v>7</v>
      </c>
      <c r="H849" s="8">
        <v>1.76</v>
      </c>
      <c r="I849" s="4">
        <v>0</v>
      </c>
    </row>
    <row r="850" spans="1:9" x14ac:dyDescent="0.15">
      <c r="A850" s="2">
        <v>16</v>
      </c>
      <c r="B850" s="1" t="s">
        <v>135</v>
      </c>
      <c r="C850" s="4">
        <v>15</v>
      </c>
      <c r="D850" s="8">
        <v>1.51</v>
      </c>
      <c r="E850" s="4">
        <v>15</v>
      </c>
      <c r="F850" s="8">
        <v>2.52</v>
      </c>
      <c r="G850" s="4">
        <v>0</v>
      </c>
      <c r="H850" s="8">
        <v>0</v>
      </c>
      <c r="I850" s="4">
        <v>0</v>
      </c>
    </row>
    <row r="851" spans="1:9" x14ac:dyDescent="0.15">
      <c r="A851" s="2">
        <v>18</v>
      </c>
      <c r="B851" s="1" t="s">
        <v>143</v>
      </c>
      <c r="C851" s="4">
        <v>14</v>
      </c>
      <c r="D851" s="8">
        <v>1.41</v>
      </c>
      <c r="E851" s="4">
        <v>11</v>
      </c>
      <c r="F851" s="8">
        <v>1.85</v>
      </c>
      <c r="G851" s="4">
        <v>3</v>
      </c>
      <c r="H851" s="8">
        <v>0.76</v>
      </c>
      <c r="I851" s="4">
        <v>0</v>
      </c>
    </row>
    <row r="852" spans="1:9" x14ac:dyDescent="0.15">
      <c r="A852" s="2">
        <v>19</v>
      </c>
      <c r="B852" s="1" t="s">
        <v>195</v>
      </c>
      <c r="C852" s="4">
        <v>13</v>
      </c>
      <c r="D852" s="8">
        <v>1.31</v>
      </c>
      <c r="E852" s="4">
        <v>4</v>
      </c>
      <c r="F852" s="8">
        <v>0.67</v>
      </c>
      <c r="G852" s="4">
        <v>9</v>
      </c>
      <c r="H852" s="8">
        <v>2.27</v>
      </c>
      <c r="I852" s="4">
        <v>0</v>
      </c>
    </row>
    <row r="853" spans="1:9" x14ac:dyDescent="0.15">
      <c r="A853" s="2">
        <v>19</v>
      </c>
      <c r="B853" s="1" t="s">
        <v>137</v>
      </c>
      <c r="C853" s="4">
        <v>13</v>
      </c>
      <c r="D853" s="8">
        <v>1.31</v>
      </c>
      <c r="E853" s="4">
        <v>12</v>
      </c>
      <c r="F853" s="8">
        <v>2.0099999999999998</v>
      </c>
      <c r="G853" s="4">
        <v>1</v>
      </c>
      <c r="H853" s="8">
        <v>0.25</v>
      </c>
      <c r="I853" s="4">
        <v>0</v>
      </c>
    </row>
    <row r="854" spans="1:9" x14ac:dyDescent="0.15">
      <c r="A854" s="1"/>
      <c r="C854" s="4"/>
      <c r="D854" s="8"/>
      <c r="E854" s="4"/>
      <c r="F854" s="8"/>
      <c r="G854" s="4"/>
      <c r="H854" s="8"/>
      <c r="I854" s="4"/>
    </row>
    <row r="855" spans="1:9" x14ac:dyDescent="0.15">
      <c r="A855" s="1" t="s">
        <v>38</v>
      </c>
      <c r="C855" s="4"/>
      <c r="D855" s="8"/>
      <c r="E855" s="4"/>
      <c r="F855" s="8"/>
      <c r="G855" s="4"/>
      <c r="H855" s="8"/>
      <c r="I855" s="4"/>
    </row>
    <row r="856" spans="1:9" x14ac:dyDescent="0.15">
      <c r="A856" s="2">
        <v>1</v>
      </c>
      <c r="B856" s="1" t="s">
        <v>192</v>
      </c>
      <c r="C856" s="4">
        <v>100</v>
      </c>
      <c r="D856" s="8">
        <v>5</v>
      </c>
      <c r="E856" s="4">
        <v>87</v>
      </c>
      <c r="F856" s="8">
        <v>6.6</v>
      </c>
      <c r="G856" s="4">
        <v>13</v>
      </c>
      <c r="H856" s="8">
        <v>1.93</v>
      </c>
      <c r="I856" s="4">
        <v>0</v>
      </c>
    </row>
    <row r="857" spans="1:9" x14ac:dyDescent="0.15">
      <c r="A857" s="2">
        <v>2</v>
      </c>
      <c r="B857" s="1" t="s">
        <v>201</v>
      </c>
      <c r="C857" s="4">
        <v>98</v>
      </c>
      <c r="D857" s="8">
        <v>4.9000000000000004</v>
      </c>
      <c r="E857" s="4">
        <v>91</v>
      </c>
      <c r="F857" s="8">
        <v>6.9</v>
      </c>
      <c r="G857" s="4">
        <v>7</v>
      </c>
      <c r="H857" s="8">
        <v>1.04</v>
      </c>
      <c r="I857" s="4">
        <v>0</v>
      </c>
    </row>
    <row r="858" spans="1:9" x14ac:dyDescent="0.15">
      <c r="A858" s="2">
        <v>3</v>
      </c>
      <c r="B858" s="1" t="s">
        <v>141</v>
      </c>
      <c r="C858" s="4">
        <v>88</v>
      </c>
      <c r="D858" s="8">
        <v>4.4000000000000004</v>
      </c>
      <c r="E858" s="4">
        <v>81</v>
      </c>
      <c r="F858" s="8">
        <v>6.15</v>
      </c>
      <c r="G858" s="4">
        <v>7</v>
      </c>
      <c r="H858" s="8">
        <v>1.04</v>
      </c>
      <c r="I858" s="4">
        <v>0</v>
      </c>
    </row>
    <row r="859" spans="1:9" x14ac:dyDescent="0.15">
      <c r="A859" s="2">
        <v>4</v>
      </c>
      <c r="B859" s="1" t="s">
        <v>125</v>
      </c>
      <c r="C859" s="4">
        <v>81</v>
      </c>
      <c r="D859" s="8">
        <v>4.05</v>
      </c>
      <c r="E859" s="4">
        <v>27</v>
      </c>
      <c r="F859" s="8">
        <v>2.0499999999999998</v>
      </c>
      <c r="G859" s="4">
        <v>54</v>
      </c>
      <c r="H859" s="8">
        <v>8.02</v>
      </c>
      <c r="I859" s="4">
        <v>0</v>
      </c>
    </row>
    <row r="860" spans="1:9" x14ac:dyDescent="0.15">
      <c r="A860" s="2">
        <v>5</v>
      </c>
      <c r="B860" s="1" t="s">
        <v>143</v>
      </c>
      <c r="C860" s="4">
        <v>66</v>
      </c>
      <c r="D860" s="8">
        <v>3.3</v>
      </c>
      <c r="E860" s="4">
        <v>59</v>
      </c>
      <c r="F860" s="8">
        <v>4.4800000000000004</v>
      </c>
      <c r="G860" s="4">
        <v>7</v>
      </c>
      <c r="H860" s="8">
        <v>1.04</v>
      </c>
      <c r="I860" s="4">
        <v>0</v>
      </c>
    </row>
    <row r="861" spans="1:9" x14ac:dyDescent="0.15">
      <c r="A861" s="2">
        <v>6</v>
      </c>
      <c r="B861" s="1" t="s">
        <v>132</v>
      </c>
      <c r="C861" s="4">
        <v>58</v>
      </c>
      <c r="D861" s="8">
        <v>2.9</v>
      </c>
      <c r="E861" s="4">
        <v>51</v>
      </c>
      <c r="F861" s="8">
        <v>3.87</v>
      </c>
      <c r="G861" s="4">
        <v>7</v>
      </c>
      <c r="H861" s="8">
        <v>1.04</v>
      </c>
      <c r="I861" s="4">
        <v>0</v>
      </c>
    </row>
    <row r="862" spans="1:9" x14ac:dyDescent="0.15">
      <c r="A862" s="2">
        <v>7</v>
      </c>
      <c r="B862" s="1" t="s">
        <v>134</v>
      </c>
      <c r="C862" s="4">
        <v>53</v>
      </c>
      <c r="D862" s="8">
        <v>2.65</v>
      </c>
      <c r="E862" s="4">
        <v>44</v>
      </c>
      <c r="F862" s="8">
        <v>3.34</v>
      </c>
      <c r="G862" s="4">
        <v>9</v>
      </c>
      <c r="H862" s="8">
        <v>1.34</v>
      </c>
      <c r="I862" s="4">
        <v>0</v>
      </c>
    </row>
    <row r="863" spans="1:9" x14ac:dyDescent="0.15">
      <c r="A863" s="2">
        <v>8</v>
      </c>
      <c r="B863" s="1" t="s">
        <v>140</v>
      </c>
      <c r="C863" s="4">
        <v>51</v>
      </c>
      <c r="D863" s="8">
        <v>2.5499999999999998</v>
      </c>
      <c r="E863" s="4">
        <v>51</v>
      </c>
      <c r="F863" s="8">
        <v>3.87</v>
      </c>
      <c r="G863" s="4">
        <v>0</v>
      </c>
      <c r="H863" s="8">
        <v>0</v>
      </c>
      <c r="I863" s="4">
        <v>0</v>
      </c>
    </row>
    <row r="864" spans="1:9" x14ac:dyDescent="0.15">
      <c r="A864" s="2">
        <v>9</v>
      </c>
      <c r="B864" s="1" t="s">
        <v>138</v>
      </c>
      <c r="C864" s="4">
        <v>46</v>
      </c>
      <c r="D864" s="8">
        <v>2.2999999999999998</v>
      </c>
      <c r="E864" s="4">
        <v>42</v>
      </c>
      <c r="F864" s="8">
        <v>3.19</v>
      </c>
      <c r="G864" s="4">
        <v>4</v>
      </c>
      <c r="H864" s="8">
        <v>0.59</v>
      </c>
      <c r="I864" s="4">
        <v>0</v>
      </c>
    </row>
    <row r="865" spans="1:9" x14ac:dyDescent="0.15">
      <c r="A865" s="2">
        <v>10</v>
      </c>
      <c r="B865" s="1" t="s">
        <v>130</v>
      </c>
      <c r="C865" s="4">
        <v>42</v>
      </c>
      <c r="D865" s="8">
        <v>2.1</v>
      </c>
      <c r="E865" s="4">
        <v>35</v>
      </c>
      <c r="F865" s="8">
        <v>2.66</v>
      </c>
      <c r="G865" s="4">
        <v>7</v>
      </c>
      <c r="H865" s="8">
        <v>1.04</v>
      </c>
      <c r="I865" s="4">
        <v>0</v>
      </c>
    </row>
    <row r="866" spans="1:9" x14ac:dyDescent="0.15">
      <c r="A866" s="2">
        <v>11</v>
      </c>
      <c r="B866" s="1" t="s">
        <v>167</v>
      </c>
      <c r="C866" s="4">
        <v>38</v>
      </c>
      <c r="D866" s="8">
        <v>1.9</v>
      </c>
      <c r="E866" s="4">
        <v>23</v>
      </c>
      <c r="F866" s="8">
        <v>1.75</v>
      </c>
      <c r="G866" s="4">
        <v>15</v>
      </c>
      <c r="H866" s="8">
        <v>2.23</v>
      </c>
      <c r="I866" s="4">
        <v>0</v>
      </c>
    </row>
    <row r="867" spans="1:9" x14ac:dyDescent="0.15">
      <c r="A867" s="2">
        <v>12</v>
      </c>
      <c r="B867" s="1" t="s">
        <v>129</v>
      </c>
      <c r="C867" s="4">
        <v>35</v>
      </c>
      <c r="D867" s="8">
        <v>1.75</v>
      </c>
      <c r="E867" s="4">
        <v>25</v>
      </c>
      <c r="F867" s="8">
        <v>1.9</v>
      </c>
      <c r="G867" s="4">
        <v>8</v>
      </c>
      <c r="H867" s="8">
        <v>1.19</v>
      </c>
      <c r="I867" s="4">
        <v>2</v>
      </c>
    </row>
    <row r="868" spans="1:9" x14ac:dyDescent="0.15">
      <c r="A868" s="2">
        <v>13</v>
      </c>
      <c r="B868" s="1" t="s">
        <v>127</v>
      </c>
      <c r="C868" s="4">
        <v>33</v>
      </c>
      <c r="D868" s="8">
        <v>1.65</v>
      </c>
      <c r="E868" s="4">
        <v>22</v>
      </c>
      <c r="F868" s="8">
        <v>1.67</v>
      </c>
      <c r="G868" s="4">
        <v>11</v>
      </c>
      <c r="H868" s="8">
        <v>1.63</v>
      </c>
      <c r="I868" s="4">
        <v>0</v>
      </c>
    </row>
    <row r="869" spans="1:9" x14ac:dyDescent="0.15">
      <c r="A869" s="2">
        <v>13</v>
      </c>
      <c r="B869" s="1" t="s">
        <v>131</v>
      </c>
      <c r="C869" s="4">
        <v>33</v>
      </c>
      <c r="D869" s="8">
        <v>1.65</v>
      </c>
      <c r="E869" s="4">
        <v>16</v>
      </c>
      <c r="F869" s="8">
        <v>1.21</v>
      </c>
      <c r="G869" s="4">
        <v>17</v>
      </c>
      <c r="H869" s="8">
        <v>2.5299999999999998</v>
      </c>
      <c r="I869" s="4">
        <v>0</v>
      </c>
    </row>
    <row r="870" spans="1:9" x14ac:dyDescent="0.15">
      <c r="A870" s="2">
        <v>15</v>
      </c>
      <c r="B870" s="1" t="s">
        <v>126</v>
      </c>
      <c r="C870" s="4">
        <v>31</v>
      </c>
      <c r="D870" s="8">
        <v>1.55</v>
      </c>
      <c r="E870" s="4">
        <v>9</v>
      </c>
      <c r="F870" s="8">
        <v>0.68</v>
      </c>
      <c r="G870" s="4">
        <v>22</v>
      </c>
      <c r="H870" s="8">
        <v>3.27</v>
      </c>
      <c r="I870" s="4">
        <v>0</v>
      </c>
    </row>
    <row r="871" spans="1:9" x14ac:dyDescent="0.15">
      <c r="A871" s="2">
        <v>16</v>
      </c>
      <c r="B871" s="1" t="s">
        <v>139</v>
      </c>
      <c r="C871" s="4">
        <v>26</v>
      </c>
      <c r="D871" s="8">
        <v>1.3</v>
      </c>
      <c r="E871" s="4">
        <v>14</v>
      </c>
      <c r="F871" s="8">
        <v>1.06</v>
      </c>
      <c r="G871" s="4">
        <v>12</v>
      </c>
      <c r="H871" s="8">
        <v>1.78</v>
      </c>
      <c r="I871" s="4">
        <v>0</v>
      </c>
    </row>
    <row r="872" spans="1:9" x14ac:dyDescent="0.15">
      <c r="A872" s="2">
        <v>16</v>
      </c>
      <c r="B872" s="1" t="s">
        <v>142</v>
      </c>
      <c r="C872" s="4">
        <v>26</v>
      </c>
      <c r="D872" s="8">
        <v>1.3</v>
      </c>
      <c r="E872" s="4">
        <v>20</v>
      </c>
      <c r="F872" s="8">
        <v>1.52</v>
      </c>
      <c r="G872" s="4">
        <v>6</v>
      </c>
      <c r="H872" s="8">
        <v>0.89</v>
      </c>
      <c r="I872" s="4">
        <v>0</v>
      </c>
    </row>
    <row r="873" spans="1:9" x14ac:dyDescent="0.15">
      <c r="A873" s="2">
        <v>18</v>
      </c>
      <c r="B873" s="1" t="s">
        <v>160</v>
      </c>
      <c r="C873" s="4">
        <v>25</v>
      </c>
      <c r="D873" s="8">
        <v>1.25</v>
      </c>
      <c r="E873" s="4">
        <v>14</v>
      </c>
      <c r="F873" s="8">
        <v>1.06</v>
      </c>
      <c r="G873" s="4">
        <v>11</v>
      </c>
      <c r="H873" s="8">
        <v>1.63</v>
      </c>
      <c r="I873" s="4">
        <v>0</v>
      </c>
    </row>
    <row r="874" spans="1:9" x14ac:dyDescent="0.15">
      <c r="A874" s="2">
        <v>18</v>
      </c>
      <c r="B874" s="1" t="s">
        <v>183</v>
      </c>
      <c r="C874" s="4">
        <v>25</v>
      </c>
      <c r="D874" s="8">
        <v>1.25</v>
      </c>
      <c r="E874" s="4">
        <v>12</v>
      </c>
      <c r="F874" s="8">
        <v>0.91</v>
      </c>
      <c r="G874" s="4">
        <v>13</v>
      </c>
      <c r="H874" s="8">
        <v>1.93</v>
      </c>
      <c r="I874" s="4">
        <v>0</v>
      </c>
    </row>
    <row r="875" spans="1:9" x14ac:dyDescent="0.15">
      <c r="A875" s="2">
        <v>20</v>
      </c>
      <c r="B875" s="1" t="s">
        <v>159</v>
      </c>
      <c r="C875" s="4">
        <v>24</v>
      </c>
      <c r="D875" s="8">
        <v>1.2</v>
      </c>
      <c r="E875" s="4">
        <v>17</v>
      </c>
      <c r="F875" s="8">
        <v>1.29</v>
      </c>
      <c r="G875" s="4">
        <v>7</v>
      </c>
      <c r="H875" s="8">
        <v>1.04</v>
      </c>
      <c r="I875" s="4">
        <v>0</v>
      </c>
    </row>
    <row r="876" spans="1:9" x14ac:dyDescent="0.15">
      <c r="A876" s="1"/>
      <c r="C876" s="4"/>
      <c r="D876" s="8"/>
      <c r="E876" s="4"/>
      <c r="F876" s="8"/>
      <c r="G876" s="4"/>
      <c r="H876" s="8"/>
      <c r="I876" s="4"/>
    </row>
    <row r="877" spans="1:9" x14ac:dyDescent="0.15">
      <c r="A877" s="1" t="s">
        <v>39</v>
      </c>
      <c r="C877" s="4"/>
      <c r="D877" s="8"/>
      <c r="E877" s="4"/>
      <c r="F877" s="8"/>
      <c r="G877" s="4"/>
      <c r="H877" s="8"/>
      <c r="I877" s="4"/>
    </row>
    <row r="878" spans="1:9" x14ac:dyDescent="0.15">
      <c r="A878" s="2">
        <v>1</v>
      </c>
      <c r="B878" s="1" t="s">
        <v>125</v>
      </c>
      <c r="C878" s="4">
        <v>17</v>
      </c>
      <c r="D878" s="8">
        <v>5.96</v>
      </c>
      <c r="E878" s="4">
        <v>3</v>
      </c>
      <c r="F878" s="8">
        <v>2.11</v>
      </c>
      <c r="G878" s="4">
        <v>14</v>
      </c>
      <c r="H878" s="8">
        <v>9.7899999999999991</v>
      </c>
      <c r="I878" s="4">
        <v>0</v>
      </c>
    </row>
    <row r="879" spans="1:9" x14ac:dyDescent="0.15">
      <c r="A879" s="2">
        <v>2</v>
      </c>
      <c r="B879" s="1" t="s">
        <v>141</v>
      </c>
      <c r="C879" s="4">
        <v>13</v>
      </c>
      <c r="D879" s="8">
        <v>4.5599999999999996</v>
      </c>
      <c r="E879" s="4">
        <v>10</v>
      </c>
      <c r="F879" s="8">
        <v>7.04</v>
      </c>
      <c r="G879" s="4">
        <v>3</v>
      </c>
      <c r="H879" s="8">
        <v>2.1</v>
      </c>
      <c r="I879" s="4">
        <v>0</v>
      </c>
    </row>
    <row r="880" spans="1:9" x14ac:dyDescent="0.15">
      <c r="A880" s="2">
        <v>3</v>
      </c>
      <c r="B880" s="1" t="s">
        <v>143</v>
      </c>
      <c r="C880" s="4">
        <v>9</v>
      </c>
      <c r="D880" s="8">
        <v>3.16</v>
      </c>
      <c r="E880" s="4">
        <v>8</v>
      </c>
      <c r="F880" s="8">
        <v>5.63</v>
      </c>
      <c r="G880" s="4">
        <v>1</v>
      </c>
      <c r="H880" s="8">
        <v>0.7</v>
      </c>
      <c r="I880" s="4">
        <v>0</v>
      </c>
    </row>
    <row r="881" spans="1:9" x14ac:dyDescent="0.15">
      <c r="A881" s="2">
        <v>4</v>
      </c>
      <c r="B881" s="1" t="s">
        <v>160</v>
      </c>
      <c r="C881" s="4">
        <v>8</v>
      </c>
      <c r="D881" s="8">
        <v>2.81</v>
      </c>
      <c r="E881" s="4">
        <v>3</v>
      </c>
      <c r="F881" s="8">
        <v>2.11</v>
      </c>
      <c r="G881" s="4">
        <v>5</v>
      </c>
      <c r="H881" s="8">
        <v>3.5</v>
      </c>
      <c r="I881" s="4">
        <v>0</v>
      </c>
    </row>
    <row r="882" spans="1:9" x14ac:dyDescent="0.15">
      <c r="A882" s="2">
        <v>4</v>
      </c>
      <c r="B882" s="1" t="s">
        <v>132</v>
      </c>
      <c r="C882" s="4">
        <v>8</v>
      </c>
      <c r="D882" s="8">
        <v>2.81</v>
      </c>
      <c r="E882" s="4">
        <v>6</v>
      </c>
      <c r="F882" s="8">
        <v>4.2300000000000004</v>
      </c>
      <c r="G882" s="4">
        <v>2</v>
      </c>
      <c r="H882" s="8">
        <v>1.4</v>
      </c>
      <c r="I882" s="4">
        <v>0</v>
      </c>
    </row>
    <row r="883" spans="1:9" x14ac:dyDescent="0.15">
      <c r="A883" s="2">
        <v>6</v>
      </c>
      <c r="B883" s="1" t="s">
        <v>153</v>
      </c>
      <c r="C883" s="4">
        <v>7</v>
      </c>
      <c r="D883" s="8">
        <v>2.46</v>
      </c>
      <c r="E883" s="4">
        <v>2</v>
      </c>
      <c r="F883" s="8">
        <v>1.41</v>
      </c>
      <c r="G883" s="4">
        <v>5</v>
      </c>
      <c r="H883" s="8">
        <v>3.5</v>
      </c>
      <c r="I883" s="4">
        <v>0</v>
      </c>
    </row>
    <row r="884" spans="1:9" x14ac:dyDescent="0.15">
      <c r="A884" s="2">
        <v>6</v>
      </c>
      <c r="B884" s="1" t="s">
        <v>130</v>
      </c>
      <c r="C884" s="4">
        <v>7</v>
      </c>
      <c r="D884" s="8">
        <v>2.46</v>
      </c>
      <c r="E884" s="4">
        <v>4</v>
      </c>
      <c r="F884" s="8">
        <v>2.82</v>
      </c>
      <c r="G884" s="4">
        <v>3</v>
      </c>
      <c r="H884" s="8">
        <v>2.1</v>
      </c>
      <c r="I884" s="4">
        <v>0</v>
      </c>
    </row>
    <row r="885" spans="1:9" x14ac:dyDescent="0.15">
      <c r="A885" s="2">
        <v>6</v>
      </c>
      <c r="B885" s="1" t="s">
        <v>138</v>
      </c>
      <c r="C885" s="4">
        <v>7</v>
      </c>
      <c r="D885" s="8">
        <v>2.46</v>
      </c>
      <c r="E885" s="4">
        <v>7</v>
      </c>
      <c r="F885" s="8">
        <v>4.93</v>
      </c>
      <c r="G885" s="4">
        <v>0</v>
      </c>
      <c r="H885" s="8">
        <v>0</v>
      </c>
      <c r="I885" s="4">
        <v>0</v>
      </c>
    </row>
    <row r="886" spans="1:9" x14ac:dyDescent="0.15">
      <c r="A886" s="2">
        <v>6</v>
      </c>
      <c r="B886" s="1" t="s">
        <v>140</v>
      </c>
      <c r="C886" s="4">
        <v>7</v>
      </c>
      <c r="D886" s="8">
        <v>2.46</v>
      </c>
      <c r="E886" s="4">
        <v>7</v>
      </c>
      <c r="F886" s="8">
        <v>4.93</v>
      </c>
      <c r="G886" s="4">
        <v>0</v>
      </c>
      <c r="H886" s="8">
        <v>0</v>
      </c>
      <c r="I886" s="4">
        <v>0</v>
      </c>
    </row>
    <row r="887" spans="1:9" x14ac:dyDescent="0.15">
      <c r="A887" s="2">
        <v>10</v>
      </c>
      <c r="B887" s="1" t="s">
        <v>127</v>
      </c>
      <c r="C887" s="4">
        <v>6</v>
      </c>
      <c r="D887" s="8">
        <v>2.11</v>
      </c>
      <c r="E887" s="4">
        <v>6</v>
      </c>
      <c r="F887" s="8">
        <v>4.2300000000000004</v>
      </c>
      <c r="G887" s="4">
        <v>0</v>
      </c>
      <c r="H887" s="8">
        <v>0</v>
      </c>
      <c r="I887" s="4">
        <v>0</v>
      </c>
    </row>
    <row r="888" spans="1:9" x14ac:dyDescent="0.15">
      <c r="A888" s="2">
        <v>10</v>
      </c>
      <c r="B888" s="1" t="s">
        <v>155</v>
      </c>
      <c r="C888" s="4">
        <v>6</v>
      </c>
      <c r="D888" s="8">
        <v>2.11</v>
      </c>
      <c r="E888" s="4">
        <v>6</v>
      </c>
      <c r="F888" s="8">
        <v>4.2300000000000004</v>
      </c>
      <c r="G888" s="4">
        <v>0</v>
      </c>
      <c r="H888" s="8">
        <v>0</v>
      </c>
      <c r="I888" s="4">
        <v>0</v>
      </c>
    </row>
    <row r="889" spans="1:9" x14ac:dyDescent="0.15">
      <c r="A889" s="2">
        <v>10</v>
      </c>
      <c r="B889" s="1" t="s">
        <v>146</v>
      </c>
      <c r="C889" s="4">
        <v>6</v>
      </c>
      <c r="D889" s="8">
        <v>2.11</v>
      </c>
      <c r="E889" s="4">
        <v>3</v>
      </c>
      <c r="F889" s="8">
        <v>2.11</v>
      </c>
      <c r="G889" s="4">
        <v>3</v>
      </c>
      <c r="H889" s="8">
        <v>2.1</v>
      </c>
      <c r="I889" s="4">
        <v>0</v>
      </c>
    </row>
    <row r="890" spans="1:9" x14ac:dyDescent="0.15">
      <c r="A890" s="2">
        <v>10</v>
      </c>
      <c r="B890" s="1" t="s">
        <v>166</v>
      </c>
      <c r="C890" s="4">
        <v>6</v>
      </c>
      <c r="D890" s="8">
        <v>2.11</v>
      </c>
      <c r="E890" s="4">
        <v>4</v>
      </c>
      <c r="F890" s="8">
        <v>2.82</v>
      </c>
      <c r="G890" s="4">
        <v>2</v>
      </c>
      <c r="H890" s="8">
        <v>1.4</v>
      </c>
      <c r="I890" s="4">
        <v>0</v>
      </c>
    </row>
    <row r="891" spans="1:9" x14ac:dyDescent="0.15">
      <c r="A891" s="2">
        <v>14</v>
      </c>
      <c r="B891" s="1" t="s">
        <v>162</v>
      </c>
      <c r="C891" s="4">
        <v>5</v>
      </c>
      <c r="D891" s="8">
        <v>1.75</v>
      </c>
      <c r="E891" s="4">
        <v>1</v>
      </c>
      <c r="F891" s="8">
        <v>0.7</v>
      </c>
      <c r="G891" s="4">
        <v>4</v>
      </c>
      <c r="H891" s="8">
        <v>2.8</v>
      </c>
      <c r="I891" s="4">
        <v>0</v>
      </c>
    </row>
    <row r="892" spans="1:9" x14ac:dyDescent="0.15">
      <c r="A892" s="2">
        <v>14</v>
      </c>
      <c r="B892" s="1" t="s">
        <v>203</v>
      </c>
      <c r="C892" s="4">
        <v>5</v>
      </c>
      <c r="D892" s="8">
        <v>1.75</v>
      </c>
      <c r="E892" s="4">
        <v>0</v>
      </c>
      <c r="F892" s="8">
        <v>0</v>
      </c>
      <c r="G892" s="4">
        <v>5</v>
      </c>
      <c r="H892" s="8">
        <v>3.5</v>
      </c>
      <c r="I892" s="4">
        <v>0</v>
      </c>
    </row>
    <row r="893" spans="1:9" x14ac:dyDescent="0.15">
      <c r="A893" s="2">
        <v>14</v>
      </c>
      <c r="B893" s="1" t="s">
        <v>135</v>
      </c>
      <c r="C893" s="4">
        <v>5</v>
      </c>
      <c r="D893" s="8">
        <v>1.75</v>
      </c>
      <c r="E893" s="4">
        <v>3</v>
      </c>
      <c r="F893" s="8">
        <v>2.11</v>
      </c>
      <c r="G893" s="4">
        <v>2</v>
      </c>
      <c r="H893" s="8">
        <v>1.4</v>
      </c>
      <c r="I893" s="4">
        <v>0</v>
      </c>
    </row>
    <row r="894" spans="1:9" x14ac:dyDescent="0.15">
      <c r="A894" s="2">
        <v>17</v>
      </c>
      <c r="B894" s="1" t="s">
        <v>126</v>
      </c>
      <c r="C894" s="4">
        <v>4</v>
      </c>
      <c r="D894" s="8">
        <v>1.4</v>
      </c>
      <c r="E894" s="4">
        <v>1</v>
      </c>
      <c r="F894" s="8">
        <v>0.7</v>
      </c>
      <c r="G894" s="4">
        <v>3</v>
      </c>
      <c r="H894" s="8">
        <v>2.1</v>
      </c>
      <c r="I894" s="4">
        <v>0</v>
      </c>
    </row>
    <row r="895" spans="1:9" x14ac:dyDescent="0.15">
      <c r="A895" s="2">
        <v>17</v>
      </c>
      <c r="B895" s="1" t="s">
        <v>181</v>
      </c>
      <c r="C895" s="4">
        <v>4</v>
      </c>
      <c r="D895" s="8">
        <v>1.4</v>
      </c>
      <c r="E895" s="4">
        <v>0</v>
      </c>
      <c r="F895" s="8">
        <v>0</v>
      </c>
      <c r="G895" s="4">
        <v>4</v>
      </c>
      <c r="H895" s="8">
        <v>2.8</v>
      </c>
      <c r="I895" s="4">
        <v>0</v>
      </c>
    </row>
    <row r="896" spans="1:9" x14ac:dyDescent="0.15">
      <c r="A896" s="2">
        <v>17</v>
      </c>
      <c r="B896" s="1" t="s">
        <v>190</v>
      </c>
      <c r="C896" s="4">
        <v>4</v>
      </c>
      <c r="D896" s="8">
        <v>1.4</v>
      </c>
      <c r="E896" s="4">
        <v>2</v>
      </c>
      <c r="F896" s="8">
        <v>1.41</v>
      </c>
      <c r="G896" s="4">
        <v>2</v>
      </c>
      <c r="H896" s="8">
        <v>1.4</v>
      </c>
      <c r="I896" s="4">
        <v>0</v>
      </c>
    </row>
    <row r="897" spans="1:9" x14ac:dyDescent="0.15">
      <c r="A897" s="2">
        <v>17</v>
      </c>
      <c r="B897" s="1" t="s">
        <v>202</v>
      </c>
      <c r="C897" s="4">
        <v>4</v>
      </c>
      <c r="D897" s="8">
        <v>1.4</v>
      </c>
      <c r="E897" s="4">
        <v>0</v>
      </c>
      <c r="F897" s="8">
        <v>0</v>
      </c>
      <c r="G897" s="4">
        <v>4</v>
      </c>
      <c r="H897" s="8">
        <v>2.8</v>
      </c>
      <c r="I897" s="4">
        <v>0</v>
      </c>
    </row>
    <row r="898" spans="1:9" x14ac:dyDescent="0.15">
      <c r="A898" s="2">
        <v>17</v>
      </c>
      <c r="B898" s="1" t="s">
        <v>150</v>
      </c>
      <c r="C898" s="4">
        <v>4</v>
      </c>
      <c r="D898" s="8">
        <v>1.4</v>
      </c>
      <c r="E898" s="4">
        <v>1</v>
      </c>
      <c r="F898" s="8">
        <v>0.7</v>
      </c>
      <c r="G898" s="4">
        <v>3</v>
      </c>
      <c r="H898" s="8">
        <v>2.1</v>
      </c>
      <c r="I898" s="4">
        <v>0</v>
      </c>
    </row>
    <row r="899" spans="1:9" x14ac:dyDescent="0.15">
      <c r="A899" s="2">
        <v>17</v>
      </c>
      <c r="B899" s="1" t="s">
        <v>171</v>
      </c>
      <c r="C899" s="4">
        <v>4</v>
      </c>
      <c r="D899" s="8">
        <v>1.4</v>
      </c>
      <c r="E899" s="4">
        <v>4</v>
      </c>
      <c r="F899" s="8">
        <v>2.82</v>
      </c>
      <c r="G899" s="4">
        <v>0</v>
      </c>
      <c r="H899" s="8">
        <v>0</v>
      </c>
      <c r="I899" s="4">
        <v>0</v>
      </c>
    </row>
    <row r="900" spans="1:9" x14ac:dyDescent="0.15">
      <c r="A900" s="2">
        <v>17</v>
      </c>
      <c r="B900" s="1" t="s">
        <v>139</v>
      </c>
      <c r="C900" s="4">
        <v>4</v>
      </c>
      <c r="D900" s="8">
        <v>1.4</v>
      </c>
      <c r="E900" s="4">
        <v>3</v>
      </c>
      <c r="F900" s="8">
        <v>2.11</v>
      </c>
      <c r="G900" s="4">
        <v>1</v>
      </c>
      <c r="H900" s="8">
        <v>0.7</v>
      </c>
      <c r="I900" s="4">
        <v>0</v>
      </c>
    </row>
    <row r="901" spans="1:9" x14ac:dyDescent="0.15">
      <c r="A901" s="2">
        <v>17</v>
      </c>
      <c r="B901" s="1" t="s">
        <v>204</v>
      </c>
      <c r="C901" s="4">
        <v>4</v>
      </c>
      <c r="D901" s="8">
        <v>1.4</v>
      </c>
      <c r="E901" s="4">
        <v>1</v>
      </c>
      <c r="F901" s="8">
        <v>0.7</v>
      </c>
      <c r="G901" s="4">
        <v>3</v>
      </c>
      <c r="H901" s="8">
        <v>2.1</v>
      </c>
      <c r="I901" s="4">
        <v>0</v>
      </c>
    </row>
    <row r="902" spans="1:9" x14ac:dyDescent="0.15">
      <c r="A902" s="2">
        <v>17</v>
      </c>
      <c r="B902" s="1" t="s">
        <v>144</v>
      </c>
      <c r="C902" s="4">
        <v>4</v>
      </c>
      <c r="D902" s="8">
        <v>1.4</v>
      </c>
      <c r="E902" s="4">
        <v>3</v>
      </c>
      <c r="F902" s="8">
        <v>2.11</v>
      </c>
      <c r="G902" s="4">
        <v>1</v>
      </c>
      <c r="H902" s="8">
        <v>0.7</v>
      </c>
      <c r="I902" s="4">
        <v>0</v>
      </c>
    </row>
    <row r="903" spans="1:9" x14ac:dyDescent="0.15">
      <c r="A903" s="1"/>
      <c r="C903" s="4"/>
      <c r="D903" s="8"/>
      <c r="E903" s="4"/>
      <c r="F903" s="8"/>
      <c r="G903" s="4"/>
      <c r="H903" s="8"/>
      <c r="I903" s="4"/>
    </row>
    <row r="904" spans="1:9" x14ac:dyDescent="0.15">
      <c r="A904" s="1" t="s">
        <v>40</v>
      </c>
      <c r="C904" s="4"/>
      <c r="D904" s="8"/>
      <c r="E904" s="4"/>
      <c r="F904" s="8"/>
      <c r="G904" s="4"/>
      <c r="H904" s="8"/>
      <c r="I904" s="4"/>
    </row>
    <row r="905" spans="1:9" x14ac:dyDescent="0.15">
      <c r="A905" s="2">
        <v>1</v>
      </c>
      <c r="B905" s="1" t="s">
        <v>173</v>
      </c>
      <c r="C905" s="4">
        <v>76</v>
      </c>
      <c r="D905" s="8">
        <v>9.06</v>
      </c>
      <c r="E905" s="4">
        <v>42</v>
      </c>
      <c r="F905" s="8">
        <v>6.98</v>
      </c>
      <c r="G905" s="4">
        <v>34</v>
      </c>
      <c r="H905" s="8">
        <v>14.35</v>
      </c>
      <c r="I905" s="4">
        <v>0</v>
      </c>
    </row>
    <row r="906" spans="1:9" x14ac:dyDescent="0.15">
      <c r="A906" s="2">
        <v>2</v>
      </c>
      <c r="B906" s="1" t="s">
        <v>175</v>
      </c>
      <c r="C906" s="4">
        <v>36</v>
      </c>
      <c r="D906" s="8">
        <v>4.29</v>
      </c>
      <c r="E906" s="4">
        <v>21</v>
      </c>
      <c r="F906" s="8">
        <v>3.49</v>
      </c>
      <c r="G906" s="4">
        <v>15</v>
      </c>
      <c r="H906" s="8">
        <v>6.33</v>
      </c>
      <c r="I906" s="4">
        <v>0</v>
      </c>
    </row>
    <row r="907" spans="1:9" x14ac:dyDescent="0.15">
      <c r="A907" s="2">
        <v>3</v>
      </c>
      <c r="B907" s="1" t="s">
        <v>206</v>
      </c>
      <c r="C907" s="4">
        <v>30</v>
      </c>
      <c r="D907" s="8">
        <v>3.58</v>
      </c>
      <c r="E907" s="4">
        <v>25</v>
      </c>
      <c r="F907" s="8">
        <v>4.1500000000000004</v>
      </c>
      <c r="G907" s="4">
        <v>5</v>
      </c>
      <c r="H907" s="8">
        <v>2.11</v>
      </c>
      <c r="I907" s="4">
        <v>0</v>
      </c>
    </row>
    <row r="908" spans="1:9" x14ac:dyDescent="0.15">
      <c r="A908" s="2">
        <v>4</v>
      </c>
      <c r="B908" s="1" t="s">
        <v>167</v>
      </c>
      <c r="C908" s="4">
        <v>27</v>
      </c>
      <c r="D908" s="8">
        <v>3.22</v>
      </c>
      <c r="E908" s="4">
        <v>23</v>
      </c>
      <c r="F908" s="8">
        <v>3.82</v>
      </c>
      <c r="G908" s="4">
        <v>4</v>
      </c>
      <c r="H908" s="8">
        <v>1.69</v>
      </c>
      <c r="I908" s="4">
        <v>0</v>
      </c>
    </row>
    <row r="909" spans="1:9" x14ac:dyDescent="0.15">
      <c r="A909" s="2">
        <v>4</v>
      </c>
      <c r="B909" s="1" t="s">
        <v>141</v>
      </c>
      <c r="C909" s="4">
        <v>27</v>
      </c>
      <c r="D909" s="8">
        <v>3.22</v>
      </c>
      <c r="E909" s="4">
        <v>27</v>
      </c>
      <c r="F909" s="8">
        <v>4.49</v>
      </c>
      <c r="G909" s="4">
        <v>0</v>
      </c>
      <c r="H909" s="8">
        <v>0</v>
      </c>
      <c r="I909" s="4">
        <v>0</v>
      </c>
    </row>
    <row r="910" spans="1:9" x14ac:dyDescent="0.15">
      <c r="A910" s="2">
        <v>6</v>
      </c>
      <c r="B910" s="1" t="s">
        <v>127</v>
      </c>
      <c r="C910" s="4">
        <v>25</v>
      </c>
      <c r="D910" s="8">
        <v>2.98</v>
      </c>
      <c r="E910" s="4">
        <v>21</v>
      </c>
      <c r="F910" s="8">
        <v>3.49</v>
      </c>
      <c r="G910" s="4">
        <v>4</v>
      </c>
      <c r="H910" s="8">
        <v>1.69</v>
      </c>
      <c r="I910" s="4">
        <v>0</v>
      </c>
    </row>
    <row r="911" spans="1:9" x14ac:dyDescent="0.15">
      <c r="A911" s="2">
        <v>7</v>
      </c>
      <c r="B911" s="1" t="s">
        <v>140</v>
      </c>
      <c r="C911" s="4">
        <v>22</v>
      </c>
      <c r="D911" s="8">
        <v>2.62</v>
      </c>
      <c r="E911" s="4">
        <v>21</v>
      </c>
      <c r="F911" s="8">
        <v>3.49</v>
      </c>
      <c r="G911" s="4">
        <v>1</v>
      </c>
      <c r="H911" s="8">
        <v>0.42</v>
      </c>
      <c r="I911" s="4">
        <v>0</v>
      </c>
    </row>
    <row r="912" spans="1:9" x14ac:dyDescent="0.15">
      <c r="A912" s="2">
        <v>8</v>
      </c>
      <c r="B912" s="1" t="s">
        <v>125</v>
      </c>
      <c r="C912" s="4">
        <v>21</v>
      </c>
      <c r="D912" s="8">
        <v>2.5</v>
      </c>
      <c r="E912" s="4">
        <v>9</v>
      </c>
      <c r="F912" s="8">
        <v>1.5</v>
      </c>
      <c r="G912" s="4">
        <v>12</v>
      </c>
      <c r="H912" s="8">
        <v>5.0599999999999996</v>
      </c>
      <c r="I912" s="4">
        <v>0</v>
      </c>
    </row>
    <row r="913" spans="1:9" x14ac:dyDescent="0.15">
      <c r="A913" s="2">
        <v>8</v>
      </c>
      <c r="B913" s="1" t="s">
        <v>181</v>
      </c>
      <c r="C913" s="4">
        <v>21</v>
      </c>
      <c r="D913" s="8">
        <v>2.5</v>
      </c>
      <c r="E913" s="4">
        <v>19</v>
      </c>
      <c r="F913" s="8">
        <v>3.16</v>
      </c>
      <c r="G913" s="4">
        <v>2</v>
      </c>
      <c r="H913" s="8">
        <v>0.84</v>
      </c>
      <c r="I913" s="4">
        <v>0</v>
      </c>
    </row>
    <row r="914" spans="1:9" x14ac:dyDescent="0.15">
      <c r="A914" s="2">
        <v>8</v>
      </c>
      <c r="B914" s="1" t="s">
        <v>205</v>
      </c>
      <c r="C914" s="4">
        <v>21</v>
      </c>
      <c r="D914" s="8">
        <v>2.5</v>
      </c>
      <c r="E914" s="4">
        <v>19</v>
      </c>
      <c r="F914" s="8">
        <v>3.16</v>
      </c>
      <c r="G914" s="4">
        <v>2</v>
      </c>
      <c r="H914" s="8">
        <v>0.84</v>
      </c>
      <c r="I914" s="4">
        <v>0</v>
      </c>
    </row>
    <row r="915" spans="1:9" x14ac:dyDescent="0.15">
      <c r="A915" s="2">
        <v>8</v>
      </c>
      <c r="B915" s="1" t="s">
        <v>130</v>
      </c>
      <c r="C915" s="4">
        <v>21</v>
      </c>
      <c r="D915" s="8">
        <v>2.5</v>
      </c>
      <c r="E915" s="4">
        <v>15</v>
      </c>
      <c r="F915" s="8">
        <v>2.4900000000000002</v>
      </c>
      <c r="G915" s="4">
        <v>6</v>
      </c>
      <c r="H915" s="8">
        <v>2.5299999999999998</v>
      </c>
      <c r="I915" s="4">
        <v>0</v>
      </c>
    </row>
    <row r="916" spans="1:9" x14ac:dyDescent="0.15">
      <c r="A916" s="2">
        <v>12</v>
      </c>
      <c r="B916" s="1" t="s">
        <v>138</v>
      </c>
      <c r="C916" s="4">
        <v>20</v>
      </c>
      <c r="D916" s="8">
        <v>2.38</v>
      </c>
      <c r="E916" s="4">
        <v>20</v>
      </c>
      <c r="F916" s="8">
        <v>3.32</v>
      </c>
      <c r="G916" s="4">
        <v>0</v>
      </c>
      <c r="H916" s="8">
        <v>0</v>
      </c>
      <c r="I916" s="4">
        <v>0</v>
      </c>
    </row>
    <row r="917" spans="1:9" x14ac:dyDescent="0.15">
      <c r="A917" s="2">
        <v>13</v>
      </c>
      <c r="B917" s="1" t="s">
        <v>132</v>
      </c>
      <c r="C917" s="4">
        <v>19</v>
      </c>
      <c r="D917" s="8">
        <v>2.2599999999999998</v>
      </c>
      <c r="E917" s="4">
        <v>14</v>
      </c>
      <c r="F917" s="8">
        <v>2.33</v>
      </c>
      <c r="G917" s="4">
        <v>5</v>
      </c>
      <c r="H917" s="8">
        <v>2.11</v>
      </c>
      <c r="I917" s="4">
        <v>0</v>
      </c>
    </row>
    <row r="918" spans="1:9" x14ac:dyDescent="0.15">
      <c r="A918" s="2">
        <v>14</v>
      </c>
      <c r="B918" s="1" t="s">
        <v>174</v>
      </c>
      <c r="C918" s="4">
        <v>16</v>
      </c>
      <c r="D918" s="8">
        <v>1.91</v>
      </c>
      <c r="E918" s="4">
        <v>15</v>
      </c>
      <c r="F918" s="8">
        <v>2.4900000000000002</v>
      </c>
      <c r="G918" s="4">
        <v>1</v>
      </c>
      <c r="H918" s="8">
        <v>0.42</v>
      </c>
      <c r="I918" s="4">
        <v>0</v>
      </c>
    </row>
    <row r="919" spans="1:9" x14ac:dyDescent="0.15">
      <c r="A919" s="2">
        <v>15</v>
      </c>
      <c r="B919" s="1" t="s">
        <v>126</v>
      </c>
      <c r="C919" s="4">
        <v>13</v>
      </c>
      <c r="D919" s="8">
        <v>1.55</v>
      </c>
      <c r="E919" s="4">
        <v>8</v>
      </c>
      <c r="F919" s="8">
        <v>1.33</v>
      </c>
      <c r="G919" s="4">
        <v>5</v>
      </c>
      <c r="H919" s="8">
        <v>2.11</v>
      </c>
      <c r="I919" s="4">
        <v>0</v>
      </c>
    </row>
    <row r="920" spans="1:9" x14ac:dyDescent="0.15">
      <c r="A920" s="2">
        <v>15</v>
      </c>
      <c r="B920" s="1" t="s">
        <v>159</v>
      </c>
      <c r="C920" s="4">
        <v>13</v>
      </c>
      <c r="D920" s="8">
        <v>1.55</v>
      </c>
      <c r="E920" s="4">
        <v>12</v>
      </c>
      <c r="F920" s="8">
        <v>1.99</v>
      </c>
      <c r="G920" s="4">
        <v>1</v>
      </c>
      <c r="H920" s="8">
        <v>0.42</v>
      </c>
      <c r="I920" s="4">
        <v>0</v>
      </c>
    </row>
    <row r="921" spans="1:9" x14ac:dyDescent="0.15">
      <c r="A921" s="2">
        <v>17</v>
      </c>
      <c r="B921" s="1" t="s">
        <v>166</v>
      </c>
      <c r="C921" s="4">
        <v>12</v>
      </c>
      <c r="D921" s="8">
        <v>1.43</v>
      </c>
      <c r="E921" s="4">
        <v>8</v>
      </c>
      <c r="F921" s="8">
        <v>1.33</v>
      </c>
      <c r="G921" s="4">
        <v>4</v>
      </c>
      <c r="H921" s="8">
        <v>1.69</v>
      </c>
      <c r="I921" s="4">
        <v>0</v>
      </c>
    </row>
    <row r="922" spans="1:9" x14ac:dyDescent="0.15">
      <c r="A922" s="2">
        <v>18</v>
      </c>
      <c r="B922" s="1" t="s">
        <v>183</v>
      </c>
      <c r="C922" s="4">
        <v>11</v>
      </c>
      <c r="D922" s="8">
        <v>1.31</v>
      </c>
      <c r="E922" s="4">
        <v>8</v>
      </c>
      <c r="F922" s="8">
        <v>1.33</v>
      </c>
      <c r="G922" s="4">
        <v>3</v>
      </c>
      <c r="H922" s="8">
        <v>1.27</v>
      </c>
      <c r="I922" s="4">
        <v>0</v>
      </c>
    </row>
    <row r="923" spans="1:9" x14ac:dyDescent="0.15">
      <c r="A923" s="2">
        <v>18</v>
      </c>
      <c r="B923" s="1" t="s">
        <v>129</v>
      </c>
      <c r="C923" s="4">
        <v>11</v>
      </c>
      <c r="D923" s="8">
        <v>1.31</v>
      </c>
      <c r="E923" s="4">
        <v>10</v>
      </c>
      <c r="F923" s="8">
        <v>1.66</v>
      </c>
      <c r="G923" s="4">
        <v>1</v>
      </c>
      <c r="H923" s="8">
        <v>0.42</v>
      </c>
      <c r="I923" s="4">
        <v>0</v>
      </c>
    </row>
    <row r="924" spans="1:9" x14ac:dyDescent="0.15">
      <c r="A924" s="2">
        <v>18</v>
      </c>
      <c r="B924" s="1" t="s">
        <v>150</v>
      </c>
      <c r="C924" s="4">
        <v>11</v>
      </c>
      <c r="D924" s="8">
        <v>1.31</v>
      </c>
      <c r="E924" s="4">
        <v>6</v>
      </c>
      <c r="F924" s="8">
        <v>1</v>
      </c>
      <c r="G924" s="4">
        <v>5</v>
      </c>
      <c r="H924" s="8">
        <v>2.11</v>
      </c>
      <c r="I924" s="4">
        <v>0</v>
      </c>
    </row>
    <row r="925" spans="1:9" x14ac:dyDescent="0.15">
      <c r="A925" s="1"/>
      <c r="C925" s="4"/>
      <c r="D925" s="8"/>
      <c r="E925" s="4"/>
      <c r="F925" s="8"/>
      <c r="G925" s="4"/>
      <c r="H925" s="8"/>
      <c r="I925" s="4"/>
    </row>
    <row r="926" spans="1:9" x14ac:dyDescent="0.15">
      <c r="A926" s="1" t="s">
        <v>41</v>
      </c>
      <c r="C926" s="4"/>
      <c r="D926" s="8"/>
      <c r="E926" s="4"/>
      <c r="F926" s="8"/>
      <c r="G926" s="4"/>
      <c r="H926" s="8"/>
      <c r="I926" s="4"/>
    </row>
    <row r="927" spans="1:9" x14ac:dyDescent="0.15">
      <c r="A927" s="2">
        <v>1</v>
      </c>
      <c r="B927" s="1" t="s">
        <v>183</v>
      </c>
      <c r="C927" s="4">
        <v>32</v>
      </c>
      <c r="D927" s="8">
        <v>4.79</v>
      </c>
      <c r="E927" s="4">
        <v>8</v>
      </c>
      <c r="F927" s="8">
        <v>2.27</v>
      </c>
      <c r="G927" s="4">
        <v>24</v>
      </c>
      <c r="H927" s="8">
        <v>7.62</v>
      </c>
      <c r="I927" s="4">
        <v>0</v>
      </c>
    </row>
    <row r="928" spans="1:9" x14ac:dyDescent="0.15">
      <c r="A928" s="2">
        <v>2</v>
      </c>
      <c r="B928" s="1" t="s">
        <v>141</v>
      </c>
      <c r="C928" s="4">
        <v>25</v>
      </c>
      <c r="D928" s="8">
        <v>3.74</v>
      </c>
      <c r="E928" s="4">
        <v>24</v>
      </c>
      <c r="F928" s="8">
        <v>6.8</v>
      </c>
      <c r="G928" s="4">
        <v>1</v>
      </c>
      <c r="H928" s="8">
        <v>0.32</v>
      </c>
      <c r="I928" s="4">
        <v>0</v>
      </c>
    </row>
    <row r="929" spans="1:9" x14ac:dyDescent="0.15">
      <c r="A929" s="2">
        <v>3</v>
      </c>
      <c r="B929" s="1" t="s">
        <v>130</v>
      </c>
      <c r="C929" s="4">
        <v>22</v>
      </c>
      <c r="D929" s="8">
        <v>3.29</v>
      </c>
      <c r="E929" s="4">
        <v>18</v>
      </c>
      <c r="F929" s="8">
        <v>5.0999999999999996</v>
      </c>
      <c r="G929" s="4">
        <v>4</v>
      </c>
      <c r="H929" s="8">
        <v>1.27</v>
      </c>
      <c r="I929" s="4">
        <v>0</v>
      </c>
    </row>
    <row r="930" spans="1:9" x14ac:dyDescent="0.15">
      <c r="A930" s="2">
        <v>4</v>
      </c>
      <c r="B930" s="1" t="s">
        <v>125</v>
      </c>
      <c r="C930" s="4">
        <v>19</v>
      </c>
      <c r="D930" s="8">
        <v>2.84</v>
      </c>
      <c r="E930" s="4">
        <v>5</v>
      </c>
      <c r="F930" s="8">
        <v>1.42</v>
      </c>
      <c r="G930" s="4">
        <v>14</v>
      </c>
      <c r="H930" s="8">
        <v>4.4400000000000004</v>
      </c>
      <c r="I930" s="4">
        <v>0</v>
      </c>
    </row>
    <row r="931" spans="1:9" x14ac:dyDescent="0.15">
      <c r="A931" s="2">
        <v>4</v>
      </c>
      <c r="B931" s="1" t="s">
        <v>166</v>
      </c>
      <c r="C931" s="4">
        <v>19</v>
      </c>
      <c r="D931" s="8">
        <v>2.84</v>
      </c>
      <c r="E931" s="4">
        <v>15</v>
      </c>
      <c r="F931" s="8">
        <v>4.25</v>
      </c>
      <c r="G931" s="4">
        <v>4</v>
      </c>
      <c r="H931" s="8">
        <v>1.27</v>
      </c>
      <c r="I931" s="4">
        <v>0</v>
      </c>
    </row>
    <row r="932" spans="1:9" x14ac:dyDescent="0.15">
      <c r="A932" s="2">
        <v>6</v>
      </c>
      <c r="B932" s="1" t="s">
        <v>138</v>
      </c>
      <c r="C932" s="4">
        <v>18</v>
      </c>
      <c r="D932" s="8">
        <v>2.69</v>
      </c>
      <c r="E932" s="4">
        <v>18</v>
      </c>
      <c r="F932" s="8">
        <v>5.0999999999999996</v>
      </c>
      <c r="G932" s="4">
        <v>0</v>
      </c>
      <c r="H932" s="8">
        <v>0</v>
      </c>
      <c r="I932" s="4">
        <v>0</v>
      </c>
    </row>
    <row r="933" spans="1:9" x14ac:dyDescent="0.15">
      <c r="A933" s="2">
        <v>6</v>
      </c>
      <c r="B933" s="1" t="s">
        <v>143</v>
      </c>
      <c r="C933" s="4">
        <v>18</v>
      </c>
      <c r="D933" s="8">
        <v>2.69</v>
      </c>
      <c r="E933" s="4">
        <v>16</v>
      </c>
      <c r="F933" s="8">
        <v>4.53</v>
      </c>
      <c r="G933" s="4">
        <v>2</v>
      </c>
      <c r="H933" s="8">
        <v>0.63</v>
      </c>
      <c r="I933" s="4">
        <v>0</v>
      </c>
    </row>
    <row r="934" spans="1:9" x14ac:dyDescent="0.15">
      <c r="A934" s="2">
        <v>8</v>
      </c>
      <c r="B934" s="1" t="s">
        <v>167</v>
      </c>
      <c r="C934" s="4">
        <v>15</v>
      </c>
      <c r="D934" s="8">
        <v>2.25</v>
      </c>
      <c r="E934" s="4">
        <v>8</v>
      </c>
      <c r="F934" s="8">
        <v>2.27</v>
      </c>
      <c r="G934" s="4">
        <v>7</v>
      </c>
      <c r="H934" s="8">
        <v>2.2200000000000002</v>
      </c>
      <c r="I934" s="4">
        <v>0</v>
      </c>
    </row>
    <row r="935" spans="1:9" x14ac:dyDescent="0.15">
      <c r="A935" s="2">
        <v>9</v>
      </c>
      <c r="B935" s="1" t="s">
        <v>153</v>
      </c>
      <c r="C935" s="4">
        <v>14</v>
      </c>
      <c r="D935" s="8">
        <v>2.1</v>
      </c>
      <c r="E935" s="4">
        <v>5</v>
      </c>
      <c r="F935" s="8">
        <v>1.42</v>
      </c>
      <c r="G935" s="4">
        <v>9</v>
      </c>
      <c r="H935" s="8">
        <v>2.86</v>
      </c>
      <c r="I935" s="4">
        <v>0</v>
      </c>
    </row>
    <row r="936" spans="1:9" x14ac:dyDescent="0.15">
      <c r="A936" s="2">
        <v>9</v>
      </c>
      <c r="B936" s="1" t="s">
        <v>150</v>
      </c>
      <c r="C936" s="4">
        <v>14</v>
      </c>
      <c r="D936" s="8">
        <v>2.1</v>
      </c>
      <c r="E936" s="4">
        <v>6</v>
      </c>
      <c r="F936" s="8">
        <v>1.7</v>
      </c>
      <c r="G936" s="4">
        <v>8</v>
      </c>
      <c r="H936" s="8">
        <v>2.54</v>
      </c>
      <c r="I936" s="4">
        <v>0</v>
      </c>
    </row>
    <row r="937" spans="1:9" x14ac:dyDescent="0.15">
      <c r="A937" s="2">
        <v>9</v>
      </c>
      <c r="B937" s="1" t="s">
        <v>140</v>
      </c>
      <c r="C937" s="4">
        <v>14</v>
      </c>
      <c r="D937" s="8">
        <v>2.1</v>
      </c>
      <c r="E937" s="4">
        <v>14</v>
      </c>
      <c r="F937" s="8">
        <v>3.97</v>
      </c>
      <c r="G937" s="4">
        <v>0</v>
      </c>
      <c r="H937" s="8">
        <v>0</v>
      </c>
      <c r="I937" s="4">
        <v>0</v>
      </c>
    </row>
    <row r="938" spans="1:9" x14ac:dyDescent="0.15">
      <c r="A938" s="2">
        <v>12</v>
      </c>
      <c r="B938" s="1" t="s">
        <v>160</v>
      </c>
      <c r="C938" s="4">
        <v>13</v>
      </c>
      <c r="D938" s="8">
        <v>1.95</v>
      </c>
      <c r="E938" s="4">
        <v>2</v>
      </c>
      <c r="F938" s="8">
        <v>0.56999999999999995</v>
      </c>
      <c r="G938" s="4">
        <v>11</v>
      </c>
      <c r="H938" s="8">
        <v>3.49</v>
      </c>
      <c r="I938" s="4">
        <v>0</v>
      </c>
    </row>
    <row r="939" spans="1:9" x14ac:dyDescent="0.15">
      <c r="A939" s="2">
        <v>12</v>
      </c>
      <c r="B939" s="1" t="s">
        <v>195</v>
      </c>
      <c r="C939" s="4">
        <v>13</v>
      </c>
      <c r="D939" s="8">
        <v>1.95</v>
      </c>
      <c r="E939" s="4">
        <v>4</v>
      </c>
      <c r="F939" s="8">
        <v>1.1299999999999999</v>
      </c>
      <c r="G939" s="4">
        <v>9</v>
      </c>
      <c r="H939" s="8">
        <v>2.86</v>
      </c>
      <c r="I939" s="4">
        <v>0</v>
      </c>
    </row>
    <row r="940" spans="1:9" x14ac:dyDescent="0.15">
      <c r="A940" s="2">
        <v>14</v>
      </c>
      <c r="B940" s="1" t="s">
        <v>127</v>
      </c>
      <c r="C940" s="4">
        <v>11</v>
      </c>
      <c r="D940" s="8">
        <v>1.65</v>
      </c>
      <c r="E940" s="4">
        <v>8</v>
      </c>
      <c r="F940" s="8">
        <v>2.27</v>
      </c>
      <c r="G940" s="4">
        <v>3</v>
      </c>
      <c r="H940" s="8">
        <v>0.95</v>
      </c>
      <c r="I940" s="4">
        <v>0</v>
      </c>
    </row>
    <row r="941" spans="1:9" x14ac:dyDescent="0.15">
      <c r="A941" s="2">
        <v>14</v>
      </c>
      <c r="B941" s="1" t="s">
        <v>132</v>
      </c>
      <c r="C941" s="4">
        <v>11</v>
      </c>
      <c r="D941" s="8">
        <v>1.65</v>
      </c>
      <c r="E941" s="4">
        <v>9</v>
      </c>
      <c r="F941" s="8">
        <v>2.5499999999999998</v>
      </c>
      <c r="G941" s="4">
        <v>2</v>
      </c>
      <c r="H941" s="8">
        <v>0.63</v>
      </c>
      <c r="I941" s="4">
        <v>0</v>
      </c>
    </row>
    <row r="942" spans="1:9" x14ac:dyDescent="0.15">
      <c r="A942" s="2">
        <v>14</v>
      </c>
      <c r="B942" s="1" t="s">
        <v>134</v>
      </c>
      <c r="C942" s="4">
        <v>11</v>
      </c>
      <c r="D942" s="8">
        <v>1.65</v>
      </c>
      <c r="E942" s="4">
        <v>9</v>
      </c>
      <c r="F942" s="8">
        <v>2.5499999999999998</v>
      </c>
      <c r="G942" s="4">
        <v>2</v>
      </c>
      <c r="H942" s="8">
        <v>0.63</v>
      </c>
      <c r="I942" s="4">
        <v>0</v>
      </c>
    </row>
    <row r="943" spans="1:9" x14ac:dyDescent="0.15">
      <c r="A943" s="2">
        <v>17</v>
      </c>
      <c r="B943" s="1" t="s">
        <v>158</v>
      </c>
      <c r="C943" s="4">
        <v>10</v>
      </c>
      <c r="D943" s="8">
        <v>1.5</v>
      </c>
      <c r="E943" s="4">
        <v>4</v>
      </c>
      <c r="F943" s="8">
        <v>1.1299999999999999</v>
      </c>
      <c r="G943" s="4">
        <v>6</v>
      </c>
      <c r="H943" s="8">
        <v>1.9</v>
      </c>
      <c r="I943" s="4">
        <v>0</v>
      </c>
    </row>
    <row r="944" spans="1:9" x14ac:dyDescent="0.15">
      <c r="A944" s="2">
        <v>17</v>
      </c>
      <c r="B944" s="1" t="s">
        <v>147</v>
      </c>
      <c r="C944" s="4">
        <v>10</v>
      </c>
      <c r="D944" s="8">
        <v>1.5</v>
      </c>
      <c r="E944" s="4">
        <v>1</v>
      </c>
      <c r="F944" s="8">
        <v>0.28000000000000003</v>
      </c>
      <c r="G944" s="4">
        <v>9</v>
      </c>
      <c r="H944" s="8">
        <v>2.86</v>
      </c>
      <c r="I944" s="4">
        <v>0</v>
      </c>
    </row>
    <row r="945" spans="1:9" x14ac:dyDescent="0.15">
      <c r="A945" s="2">
        <v>19</v>
      </c>
      <c r="B945" s="1" t="s">
        <v>139</v>
      </c>
      <c r="C945" s="4">
        <v>9</v>
      </c>
      <c r="D945" s="8">
        <v>1.35</v>
      </c>
      <c r="E945" s="4">
        <v>2</v>
      </c>
      <c r="F945" s="8">
        <v>0.56999999999999995</v>
      </c>
      <c r="G945" s="4">
        <v>7</v>
      </c>
      <c r="H945" s="8">
        <v>2.2200000000000002</v>
      </c>
      <c r="I945" s="4">
        <v>0</v>
      </c>
    </row>
    <row r="946" spans="1:9" x14ac:dyDescent="0.15">
      <c r="A946" s="2">
        <v>19</v>
      </c>
      <c r="B946" s="1" t="s">
        <v>144</v>
      </c>
      <c r="C946" s="4">
        <v>9</v>
      </c>
      <c r="D946" s="8">
        <v>1.35</v>
      </c>
      <c r="E946" s="4">
        <v>9</v>
      </c>
      <c r="F946" s="8">
        <v>2.5499999999999998</v>
      </c>
      <c r="G946" s="4">
        <v>0</v>
      </c>
      <c r="H946" s="8">
        <v>0</v>
      </c>
      <c r="I946" s="4">
        <v>0</v>
      </c>
    </row>
    <row r="947" spans="1:9" x14ac:dyDescent="0.15">
      <c r="A947" s="1"/>
      <c r="C947" s="4"/>
      <c r="D947" s="8"/>
      <c r="E947" s="4"/>
      <c r="F947" s="8"/>
      <c r="G947" s="4"/>
      <c r="H947" s="8"/>
      <c r="I947" s="4"/>
    </row>
    <row r="948" spans="1:9" x14ac:dyDescent="0.15">
      <c r="A948" s="1" t="s">
        <v>42</v>
      </c>
      <c r="C948" s="4"/>
      <c r="D948" s="8"/>
      <c r="E948" s="4"/>
      <c r="F948" s="8"/>
      <c r="G948" s="4"/>
      <c r="H948" s="8"/>
      <c r="I948" s="4"/>
    </row>
    <row r="949" spans="1:9" x14ac:dyDescent="0.15">
      <c r="A949" s="2">
        <v>1</v>
      </c>
      <c r="B949" s="1" t="s">
        <v>141</v>
      </c>
      <c r="C949" s="4">
        <v>43</v>
      </c>
      <c r="D949" s="8">
        <v>6.83</v>
      </c>
      <c r="E949" s="4">
        <v>40</v>
      </c>
      <c r="F949" s="8">
        <v>10.1</v>
      </c>
      <c r="G949" s="4">
        <v>3</v>
      </c>
      <c r="H949" s="8">
        <v>1.32</v>
      </c>
      <c r="I949" s="4">
        <v>0</v>
      </c>
    </row>
    <row r="950" spans="1:9" x14ac:dyDescent="0.15">
      <c r="A950" s="2">
        <v>2</v>
      </c>
      <c r="B950" s="1" t="s">
        <v>138</v>
      </c>
      <c r="C950" s="4">
        <v>28</v>
      </c>
      <c r="D950" s="8">
        <v>4.4400000000000004</v>
      </c>
      <c r="E950" s="4">
        <v>26</v>
      </c>
      <c r="F950" s="8">
        <v>6.57</v>
      </c>
      <c r="G950" s="4">
        <v>1</v>
      </c>
      <c r="H950" s="8">
        <v>0.44</v>
      </c>
      <c r="I950" s="4">
        <v>1</v>
      </c>
    </row>
    <row r="951" spans="1:9" x14ac:dyDescent="0.15">
      <c r="A951" s="2">
        <v>3</v>
      </c>
      <c r="B951" s="1" t="s">
        <v>125</v>
      </c>
      <c r="C951" s="4">
        <v>21</v>
      </c>
      <c r="D951" s="8">
        <v>3.33</v>
      </c>
      <c r="E951" s="4">
        <v>3</v>
      </c>
      <c r="F951" s="8">
        <v>0.76</v>
      </c>
      <c r="G951" s="4">
        <v>18</v>
      </c>
      <c r="H951" s="8">
        <v>7.89</v>
      </c>
      <c r="I951" s="4">
        <v>0</v>
      </c>
    </row>
    <row r="952" spans="1:9" x14ac:dyDescent="0.15">
      <c r="A952" s="2">
        <v>4</v>
      </c>
      <c r="B952" s="1" t="s">
        <v>140</v>
      </c>
      <c r="C952" s="4">
        <v>20</v>
      </c>
      <c r="D952" s="8">
        <v>3.17</v>
      </c>
      <c r="E952" s="4">
        <v>20</v>
      </c>
      <c r="F952" s="8">
        <v>5.05</v>
      </c>
      <c r="G952" s="4">
        <v>0</v>
      </c>
      <c r="H952" s="8">
        <v>0</v>
      </c>
      <c r="I952" s="4">
        <v>0</v>
      </c>
    </row>
    <row r="953" spans="1:9" x14ac:dyDescent="0.15">
      <c r="A953" s="2">
        <v>5</v>
      </c>
      <c r="B953" s="1" t="s">
        <v>136</v>
      </c>
      <c r="C953" s="4">
        <v>19</v>
      </c>
      <c r="D953" s="8">
        <v>3.02</v>
      </c>
      <c r="E953" s="4">
        <v>19</v>
      </c>
      <c r="F953" s="8">
        <v>4.8</v>
      </c>
      <c r="G953" s="4">
        <v>0</v>
      </c>
      <c r="H953" s="8">
        <v>0</v>
      </c>
      <c r="I953" s="4">
        <v>0</v>
      </c>
    </row>
    <row r="954" spans="1:9" x14ac:dyDescent="0.15">
      <c r="A954" s="2">
        <v>5</v>
      </c>
      <c r="B954" s="1" t="s">
        <v>143</v>
      </c>
      <c r="C954" s="4">
        <v>19</v>
      </c>
      <c r="D954" s="8">
        <v>3.02</v>
      </c>
      <c r="E954" s="4">
        <v>17</v>
      </c>
      <c r="F954" s="8">
        <v>4.29</v>
      </c>
      <c r="G954" s="4">
        <v>2</v>
      </c>
      <c r="H954" s="8">
        <v>0.88</v>
      </c>
      <c r="I954" s="4">
        <v>0</v>
      </c>
    </row>
    <row r="955" spans="1:9" x14ac:dyDescent="0.15">
      <c r="A955" s="2">
        <v>7</v>
      </c>
      <c r="B955" s="1" t="s">
        <v>134</v>
      </c>
      <c r="C955" s="4">
        <v>18</v>
      </c>
      <c r="D955" s="8">
        <v>2.86</v>
      </c>
      <c r="E955" s="4">
        <v>14</v>
      </c>
      <c r="F955" s="8">
        <v>3.54</v>
      </c>
      <c r="G955" s="4">
        <v>4</v>
      </c>
      <c r="H955" s="8">
        <v>1.75</v>
      </c>
      <c r="I955" s="4">
        <v>0</v>
      </c>
    </row>
    <row r="956" spans="1:9" x14ac:dyDescent="0.15">
      <c r="A956" s="2">
        <v>8</v>
      </c>
      <c r="B956" s="1" t="s">
        <v>132</v>
      </c>
      <c r="C956" s="4">
        <v>17</v>
      </c>
      <c r="D956" s="8">
        <v>2.7</v>
      </c>
      <c r="E956" s="4">
        <v>12</v>
      </c>
      <c r="F956" s="8">
        <v>3.03</v>
      </c>
      <c r="G956" s="4">
        <v>5</v>
      </c>
      <c r="H956" s="8">
        <v>2.19</v>
      </c>
      <c r="I956" s="4">
        <v>0</v>
      </c>
    </row>
    <row r="957" spans="1:9" x14ac:dyDescent="0.15">
      <c r="A957" s="2">
        <v>9</v>
      </c>
      <c r="B957" s="1" t="s">
        <v>142</v>
      </c>
      <c r="C957" s="4">
        <v>16</v>
      </c>
      <c r="D957" s="8">
        <v>2.54</v>
      </c>
      <c r="E957" s="4">
        <v>14</v>
      </c>
      <c r="F957" s="8">
        <v>3.54</v>
      </c>
      <c r="G957" s="4">
        <v>2</v>
      </c>
      <c r="H957" s="8">
        <v>0.88</v>
      </c>
      <c r="I957" s="4">
        <v>0</v>
      </c>
    </row>
    <row r="958" spans="1:9" x14ac:dyDescent="0.15">
      <c r="A958" s="2">
        <v>10</v>
      </c>
      <c r="B958" s="1" t="s">
        <v>130</v>
      </c>
      <c r="C958" s="4">
        <v>15</v>
      </c>
      <c r="D958" s="8">
        <v>2.38</v>
      </c>
      <c r="E958" s="4">
        <v>10</v>
      </c>
      <c r="F958" s="8">
        <v>2.5299999999999998</v>
      </c>
      <c r="G958" s="4">
        <v>5</v>
      </c>
      <c r="H958" s="8">
        <v>2.19</v>
      </c>
      <c r="I958" s="4">
        <v>0</v>
      </c>
    </row>
    <row r="959" spans="1:9" x14ac:dyDescent="0.15">
      <c r="A959" s="2">
        <v>10</v>
      </c>
      <c r="B959" s="1" t="s">
        <v>144</v>
      </c>
      <c r="C959" s="4">
        <v>15</v>
      </c>
      <c r="D959" s="8">
        <v>2.38</v>
      </c>
      <c r="E959" s="4">
        <v>12</v>
      </c>
      <c r="F959" s="8">
        <v>3.03</v>
      </c>
      <c r="G959" s="4">
        <v>3</v>
      </c>
      <c r="H959" s="8">
        <v>1.32</v>
      </c>
      <c r="I959" s="4">
        <v>0</v>
      </c>
    </row>
    <row r="960" spans="1:9" x14ac:dyDescent="0.15">
      <c r="A960" s="2">
        <v>12</v>
      </c>
      <c r="B960" s="1" t="s">
        <v>137</v>
      </c>
      <c r="C960" s="4">
        <v>13</v>
      </c>
      <c r="D960" s="8">
        <v>2.06</v>
      </c>
      <c r="E960" s="4">
        <v>13</v>
      </c>
      <c r="F960" s="8">
        <v>3.28</v>
      </c>
      <c r="G960" s="4">
        <v>0</v>
      </c>
      <c r="H960" s="8">
        <v>0</v>
      </c>
      <c r="I960" s="4">
        <v>0</v>
      </c>
    </row>
    <row r="961" spans="1:9" x14ac:dyDescent="0.15">
      <c r="A961" s="2">
        <v>12</v>
      </c>
      <c r="B961" s="1" t="s">
        <v>207</v>
      </c>
      <c r="C961" s="4">
        <v>13</v>
      </c>
      <c r="D961" s="8">
        <v>2.06</v>
      </c>
      <c r="E961" s="4">
        <v>11</v>
      </c>
      <c r="F961" s="8">
        <v>2.78</v>
      </c>
      <c r="G961" s="4">
        <v>0</v>
      </c>
      <c r="H961" s="8">
        <v>0</v>
      </c>
      <c r="I961" s="4">
        <v>2</v>
      </c>
    </row>
    <row r="962" spans="1:9" x14ac:dyDescent="0.15">
      <c r="A962" s="2">
        <v>14</v>
      </c>
      <c r="B962" s="1" t="s">
        <v>139</v>
      </c>
      <c r="C962" s="4">
        <v>12</v>
      </c>
      <c r="D962" s="8">
        <v>1.9</v>
      </c>
      <c r="E962" s="4">
        <v>8</v>
      </c>
      <c r="F962" s="8">
        <v>2.02</v>
      </c>
      <c r="G962" s="4">
        <v>4</v>
      </c>
      <c r="H962" s="8">
        <v>1.75</v>
      </c>
      <c r="I962" s="4">
        <v>0</v>
      </c>
    </row>
    <row r="963" spans="1:9" x14ac:dyDescent="0.15">
      <c r="A963" s="2">
        <v>15</v>
      </c>
      <c r="B963" s="1" t="s">
        <v>165</v>
      </c>
      <c r="C963" s="4">
        <v>11</v>
      </c>
      <c r="D963" s="8">
        <v>1.75</v>
      </c>
      <c r="E963" s="4">
        <v>7</v>
      </c>
      <c r="F963" s="8">
        <v>1.77</v>
      </c>
      <c r="G963" s="4">
        <v>4</v>
      </c>
      <c r="H963" s="8">
        <v>1.75</v>
      </c>
      <c r="I963" s="4">
        <v>0</v>
      </c>
    </row>
    <row r="964" spans="1:9" x14ac:dyDescent="0.15">
      <c r="A964" s="2">
        <v>16</v>
      </c>
      <c r="B964" s="1" t="s">
        <v>131</v>
      </c>
      <c r="C964" s="4">
        <v>10</v>
      </c>
      <c r="D964" s="8">
        <v>1.59</v>
      </c>
      <c r="E964" s="4">
        <v>4</v>
      </c>
      <c r="F964" s="8">
        <v>1.01</v>
      </c>
      <c r="G964" s="4">
        <v>6</v>
      </c>
      <c r="H964" s="8">
        <v>2.63</v>
      </c>
      <c r="I964" s="4">
        <v>0</v>
      </c>
    </row>
    <row r="965" spans="1:9" x14ac:dyDescent="0.15">
      <c r="A965" s="2">
        <v>16</v>
      </c>
      <c r="B965" s="1" t="s">
        <v>133</v>
      </c>
      <c r="C965" s="4">
        <v>10</v>
      </c>
      <c r="D965" s="8">
        <v>1.59</v>
      </c>
      <c r="E965" s="4">
        <v>1</v>
      </c>
      <c r="F965" s="8">
        <v>0.25</v>
      </c>
      <c r="G965" s="4">
        <v>9</v>
      </c>
      <c r="H965" s="8">
        <v>3.95</v>
      </c>
      <c r="I965" s="4">
        <v>0</v>
      </c>
    </row>
    <row r="966" spans="1:9" x14ac:dyDescent="0.15">
      <c r="A966" s="2">
        <v>16</v>
      </c>
      <c r="B966" s="1" t="s">
        <v>148</v>
      </c>
      <c r="C966" s="4">
        <v>10</v>
      </c>
      <c r="D966" s="8">
        <v>1.59</v>
      </c>
      <c r="E966" s="4">
        <v>9</v>
      </c>
      <c r="F966" s="8">
        <v>2.27</v>
      </c>
      <c r="G966" s="4">
        <v>1</v>
      </c>
      <c r="H966" s="8">
        <v>0.44</v>
      </c>
      <c r="I966" s="4">
        <v>0</v>
      </c>
    </row>
    <row r="967" spans="1:9" x14ac:dyDescent="0.15">
      <c r="A967" s="2">
        <v>16</v>
      </c>
      <c r="B967" s="1" t="s">
        <v>151</v>
      </c>
      <c r="C967" s="4">
        <v>10</v>
      </c>
      <c r="D967" s="8">
        <v>1.59</v>
      </c>
      <c r="E967" s="4">
        <v>10</v>
      </c>
      <c r="F967" s="8">
        <v>2.5299999999999998</v>
      </c>
      <c r="G967" s="4">
        <v>0</v>
      </c>
      <c r="H967" s="8">
        <v>0</v>
      </c>
      <c r="I967" s="4">
        <v>0</v>
      </c>
    </row>
    <row r="968" spans="1:9" x14ac:dyDescent="0.15">
      <c r="A968" s="2">
        <v>20</v>
      </c>
      <c r="B968" s="1" t="s">
        <v>135</v>
      </c>
      <c r="C968" s="4">
        <v>9</v>
      </c>
      <c r="D968" s="8">
        <v>1.43</v>
      </c>
      <c r="E968" s="4">
        <v>8</v>
      </c>
      <c r="F968" s="8">
        <v>2.02</v>
      </c>
      <c r="G968" s="4">
        <v>1</v>
      </c>
      <c r="H968" s="8">
        <v>0.44</v>
      </c>
      <c r="I968" s="4">
        <v>0</v>
      </c>
    </row>
    <row r="969" spans="1:9" x14ac:dyDescent="0.15">
      <c r="A969" s="1"/>
      <c r="C969" s="4"/>
      <c r="D969" s="8"/>
      <c r="E969" s="4"/>
      <c r="F969" s="8"/>
      <c r="G969" s="4"/>
      <c r="H969" s="8"/>
      <c r="I969" s="4"/>
    </row>
    <row r="970" spans="1:9" x14ac:dyDescent="0.15">
      <c r="A970" s="1" t="s">
        <v>43</v>
      </c>
      <c r="C970" s="4"/>
      <c r="D970" s="8"/>
      <c r="E970" s="4"/>
      <c r="F970" s="8"/>
      <c r="G970" s="4"/>
      <c r="H970" s="8"/>
      <c r="I970" s="4"/>
    </row>
    <row r="971" spans="1:9" x14ac:dyDescent="0.15">
      <c r="A971" s="2">
        <v>1</v>
      </c>
      <c r="B971" s="1" t="s">
        <v>125</v>
      </c>
      <c r="C971" s="4">
        <v>24</v>
      </c>
      <c r="D971" s="8">
        <v>7.48</v>
      </c>
      <c r="E971" s="4">
        <v>11</v>
      </c>
      <c r="F971" s="8">
        <v>4.7</v>
      </c>
      <c r="G971" s="4">
        <v>13</v>
      </c>
      <c r="H971" s="8">
        <v>15.12</v>
      </c>
      <c r="I971" s="4">
        <v>0</v>
      </c>
    </row>
    <row r="972" spans="1:9" x14ac:dyDescent="0.15">
      <c r="A972" s="2">
        <v>2</v>
      </c>
      <c r="B972" s="1" t="s">
        <v>141</v>
      </c>
      <c r="C972" s="4">
        <v>14</v>
      </c>
      <c r="D972" s="8">
        <v>4.3600000000000003</v>
      </c>
      <c r="E972" s="4">
        <v>13</v>
      </c>
      <c r="F972" s="8">
        <v>5.56</v>
      </c>
      <c r="G972" s="4">
        <v>1</v>
      </c>
      <c r="H972" s="8">
        <v>1.1599999999999999</v>
      </c>
      <c r="I972" s="4">
        <v>0</v>
      </c>
    </row>
    <row r="973" spans="1:9" x14ac:dyDescent="0.15">
      <c r="A973" s="2">
        <v>3</v>
      </c>
      <c r="B973" s="1" t="s">
        <v>176</v>
      </c>
      <c r="C973" s="4">
        <v>12</v>
      </c>
      <c r="D973" s="8">
        <v>3.74</v>
      </c>
      <c r="E973" s="4">
        <v>8</v>
      </c>
      <c r="F973" s="8">
        <v>3.42</v>
      </c>
      <c r="G973" s="4">
        <v>4</v>
      </c>
      <c r="H973" s="8">
        <v>4.6500000000000004</v>
      </c>
      <c r="I973" s="4">
        <v>0</v>
      </c>
    </row>
    <row r="974" spans="1:9" x14ac:dyDescent="0.15">
      <c r="A974" s="2">
        <v>4</v>
      </c>
      <c r="B974" s="1" t="s">
        <v>167</v>
      </c>
      <c r="C974" s="4">
        <v>11</v>
      </c>
      <c r="D974" s="8">
        <v>3.43</v>
      </c>
      <c r="E974" s="4">
        <v>9</v>
      </c>
      <c r="F974" s="8">
        <v>3.85</v>
      </c>
      <c r="G974" s="4">
        <v>2</v>
      </c>
      <c r="H974" s="8">
        <v>2.33</v>
      </c>
      <c r="I974" s="4">
        <v>0</v>
      </c>
    </row>
    <row r="975" spans="1:9" x14ac:dyDescent="0.15">
      <c r="A975" s="2">
        <v>5</v>
      </c>
      <c r="B975" s="1" t="s">
        <v>140</v>
      </c>
      <c r="C975" s="4">
        <v>10</v>
      </c>
      <c r="D975" s="8">
        <v>3.12</v>
      </c>
      <c r="E975" s="4">
        <v>10</v>
      </c>
      <c r="F975" s="8">
        <v>4.2699999999999996</v>
      </c>
      <c r="G975" s="4">
        <v>0</v>
      </c>
      <c r="H975" s="8">
        <v>0</v>
      </c>
      <c r="I975" s="4">
        <v>0</v>
      </c>
    </row>
    <row r="976" spans="1:9" x14ac:dyDescent="0.15">
      <c r="A976" s="2">
        <v>6</v>
      </c>
      <c r="B976" s="1" t="s">
        <v>132</v>
      </c>
      <c r="C976" s="4">
        <v>9</v>
      </c>
      <c r="D976" s="8">
        <v>2.8</v>
      </c>
      <c r="E976" s="4">
        <v>9</v>
      </c>
      <c r="F976" s="8">
        <v>3.85</v>
      </c>
      <c r="G976" s="4">
        <v>0</v>
      </c>
      <c r="H976" s="8">
        <v>0</v>
      </c>
      <c r="I976" s="4">
        <v>0</v>
      </c>
    </row>
    <row r="977" spans="1:9" x14ac:dyDescent="0.15">
      <c r="A977" s="2">
        <v>6</v>
      </c>
      <c r="B977" s="1" t="s">
        <v>138</v>
      </c>
      <c r="C977" s="4">
        <v>9</v>
      </c>
      <c r="D977" s="8">
        <v>2.8</v>
      </c>
      <c r="E977" s="4">
        <v>9</v>
      </c>
      <c r="F977" s="8">
        <v>3.85</v>
      </c>
      <c r="G977" s="4">
        <v>0</v>
      </c>
      <c r="H977" s="8">
        <v>0</v>
      </c>
      <c r="I977" s="4">
        <v>0</v>
      </c>
    </row>
    <row r="978" spans="1:9" x14ac:dyDescent="0.15">
      <c r="A978" s="2">
        <v>8</v>
      </c>
      <c r="B978" s="1" t="s">
        <v>126</v>
      </c>
      <c r="C978" s="4">
        <v>8</v>
      </c>
      <c r="D978" s="8">
        <v>2.4900000000000002</v>
      </c>
      <c r="E978" s="4">
        <v>5</v>
      </c>
      <c r="F978" s="8">
        <v>2.14</v>
      </c>
      <c r="G978" s="4">
        <v>3</v>
      </c>
      <c r="H978" s="8">
        <v>3.49</v>
      </c>
      <c r="I978" s="4">
        <v>0</v>
      </c>
    </row>
    <row r="979" spans="1:9" x14ac:dyDescent="0.15">
      <c r="A979" s="2">
        <v>8</v>
      </c>
      <c r="B979" s="1" t="s">
        <v>181</v>
      </c>
      <c r="C979" s="4">
        <v>8</v>
      </c>
      <c r="D979" s="8">
        <v>2.4900000000000002</v>
      </c>
      <c r="E979" s="4">
        <v>7</v>
      </c>
      <c r="F979" s="8">
        <v>2.99</v>
      </c>
      <c r="G979" s="4">
        <v>1</v>
      </c>
      <c r="H979" s="8">
        <v>1.1599999999999999</v>
      </c>
      <c r="I979" s="4">
        <v>0</v>
      </c>
    </row>
    <row r="980" spans="1:9" x14ac:dyDescent="0.15">
      <c r="A980" s="2">
        <v>8</v>
      </c>
      <c r="B980" s="1" t="s">
        <v>127</v>
      </c>
      <c r="C980" s="4">
        <v>8</v>
      </c>
      <c r="D980" s="8">
        <v>2.4900000000000002</v>
      </c>
      <c r="E980" s="4">
        <v>8</v>
      </c>
      <c r="F980" s="8">
        <v>3.42</v>
      </c>
      <c r="G980" s="4">
        <v>0</v>
      </c>
      <c r="H980" s="8">
        <v>0</v>
      </c>
      <c r="I980" s="4">
        <v>0</v>
      </c>
    </row>
    <row r="981" spans="1:9" x14ac:dyDescent="0.15">
      <c r="A981" s="2">
        <v>8</v>
      </c>
      <c r="B981" s="1" t="s">
        <v>187</v>
      </c>
      <c r="C981" s="4">
        <v>8</v>
      </c>
      <c r="D981" s="8">
        <v>2.4900000000000002</v>
      </c>
      <c r="E981" s="4">
        <v>7</v>
      </c>
      <c r="F981" s="8">
        <v>2.99</v>
      </c>
      <c r="G981" s="4">
        <v>1</v>
      </c>
      <c r="H981" s="8">
        <v>1.1599999999999999</v>
      </c>
      <c r="I981" s="4">
        <v>0</v>
      </c>
    </row>
    <row r="982" spans="1:9" x14ac:dyDescent="0.15">
      <c r="A982" s="2">
        <v>8</v>
      </c>
      <c r="B982" s="1" t="s">
        <v>166</v>
      </c>
      <c r="C982" s="4">
        <v>8</v>
      </c>
      <c r="D982" s="8">
        <v>2.4900000000000002</v>
      </c>
      <c r="E982" s="4">
        <v>8</v>
      </c>
      <c r="F982" s="8">
        <v>3.42</v>
      </c>
      <c r="G982" s="4">
        <v>0</v>
      </c>
      <c r="H982" s="8">
        <v>0</v>
      </c>
      <c r="I982" s="4">
        <v>0</v>
      </c>
    </row>
    <row r="983" spans="1:9" x14ac:dyDescent="0.15">
      <c r="A983" s="2">
        <v>13</v>
      </c>
      <c r="B983" s="1" t="s">
        <v>188</v>
      </c>
      <c r="C983" s="4">
        <v>7</v>
      </c>
      <c r="D983" s="8">
        <v>2.1800000000000002</v>
      </c>
      <c r="E983" s="4">
        <v>6</v>
      </c>
      <c r="F983" s="8">
        <v>2.56</v>
      </c>
      <c r="G983" s="4">
        <v>1</v>
      </c>
      <c r="H983" s="8">
        <v>1.1599999999999999</v>
      </c>
      <c r="I983" s="4">
        <v>0</v>
      </c>
    </row>
    <row r="984" spans="1:9" x14ac:dyDescent="0.15">
      <c r="A984" s="2">
        <v>14</v>
      </c>
      <c r="B984" s="1" t="s">
        <v>183</v>
      </c>
      <c r="C984" s="4">
        <v>6</v>
      </c>
      <c r="D984" s="8">
        <v>1.87</v>
      </c>
      <c r="E984" s="4">
        <v>3</v>
      </c>
      <c r="F984" s="8">
        <v>1.28</v>
      </c>
      <c r="G984" s="4">
        <v>3</v>
      </c>
      <c r="H984" s="8">
        <v>3.49</v>
      </c>
      <c r="I984" s="4">
        <v>0</v>
      </c>
    </row>
    <row r="985" spans="1:9" x14ac:dyDescent="0.15">
      <c r="A985" s="2">
        <v>14</v>
      </c>
      <c r="B985" s="1" t="s">
        <v>131</v>
      </c>
      <c r="C985" s="4">
        <v>6</v>
      </c>
      <c r="D985" s="8">
        <v>1.87</v>
      </c>
      <c r="E985" s="4">
        <v>4</v>
      </c>
      <c r="F985" s="8">
        <v>1.71</v>
      </c>
      <c r="G985" s="4">
        <v>2</v>
      </c>
      <c r="H985" s="8">
        <v>2.33</v>
      </c>
      <c r="I985" s="4">
        <v>0</v>
      </c>
    </row>
    <row r="986" spans="1:9" x14ac:dyDescent="0.15">
      <c r="A986" s="2">
        <v>14</v>
      </c>
      <c r="B986" s="1" t="s">
        <v>172</v>
      </c>
      <c r="C986" s="4">
        <v>6</v>
      </c>
      <c r="D986" s="8">
        <v>1.87</v>
      </c>
      <c r="E986" s="4">
        <v>3</v>
      </c>
      <c r="F986" s="8">
        <v>1.28</v>
      </c>
      <c r="G986" s="4">
        <v>3</v>
      </c>
      <c r="H986" s="8">
        <v>3.49</v>
      </c>
      <c r="I986" s="4">
        <v>0</v>
      </c>
    </row>
    <row r="987" spans="1:9" x14ac:dyDescent="0.15">
      <c r="A987" s="2">
        <v>14</v>
      </c>
      <c r="B987" s="1" t="s">
        <v>142</v>
      </c>
      <c r="C987" s="4">
        <v>6</v>
      </c>
      <c r="D987" s="8">
        <v>1.87</v>
      </c>
      <c r="E987" s="4">
        <v>6</v>
      </c>
      <c r="F987" s="8">
        <v>2.56</v>
      </c>
      <c r="G987" s="4">
        <v>0</v>
      </c>
      <c r="H987" s="8">
        <v>0</v>
      </c>
      <c r="I987" s="4">
        <v>0</v>
      </c>
    </row>
    <row r="988" spans="1:9" x14ac:dyDescent="0.15">
      <c r="A988" s="2">
        <v>18</v>
      </c>
      <c r="B988" s="1" t="s">
        <v>210</v>
      </c>
      <c r="C988" s="4">
        <v>5</v>
      </c>
      <c r="D988" s="8">
        <v>1.56</v>
      </c>
      <c r="E988" s="4">
        <v>2</v>
      </c>
      <c r="F988" s="8">
        <v>0.85</v>
      </c>
      <c r="G988" s="4">
        <v>3</v>
      </c>
      <c r="H988" s="8">
        <v>3.49</v>
      </c>
      <c r="I988" s="4">
        <v>0</v>
      </c>
    </row>
    <row r="989" spans="1:9" x14ac:dyDescent="0.15">
      <c r="A989" s="2">
        <v>18</v>
      </c>
      <c r="B989" s="1" t="s">
        <v>130</v>
      </c>
      <c r="C989" s="4">
        <v>5</v>
      </c>
      <c r="D989" s="8">
        <v>1.56</v>
      </c>
      <c r="E989" s="4">
        <v>5</v>
      </c>
      <c r="F989" s="8">
        <v>2.14</v>
      </c>
      <c r="G989" s="4">
        <v>0</v>
      </c>
      <c r="H989" s="8">
        <v>0</v>
      </c>
      <c r="I989" s="4">
        <v>0</v>
      </c>
    </row>
    <row r="990" spans="1:9" x14ac:dyDescent="0.15">
      <c r="A990" s="2">
        <v>20</v>
      </c>
      <c r="B990" s="1" t="s">
        <v>191</v>
      </c>
      <c r="C990" s="4">
        <v>4</v>
      </c>
      <c r="D990" s="8">
        <v>1.25</v>
      </c>
      <c r="E990" s="4">
        <v>1</v>
      </c>
      <c r="F990" s="8">
        <v>0.43</v>
      </c>
      <c r="G990" s="4">
        <v>3</v>
      </c>
      <c r="H990" s="8">
        <v>3.49</v>
      </c>
      <c r="I990" s="4">
        <v>0</v>
      </c>
    </row>
    <row r="991" spans="1:9" x14ac:dyDescent="0.15">
      <c r="A991" s="2">
        <v>20</v>
      </c>
      <c r="B991" s="1" t="s">
        <v>208</v>
      </c>
      <c r="C991" s="4">
        <v>4</v>
      </c>
      <c r="D991" s="8">
        <v>1.25</v>
      </c>
      <c r="E991" s="4">
        <v>0</v>
      </c>
      <c r="F991" s="8">
        <v>0</v>
      </c>
      <c r="G991" s="4">
        <v>4</v>
      </c>
      <c r="H991" s="8">
        <v>4.6500000000000004</v>
      </c>
      <c r="I991" s="4">
        <v>0</v>
      </c>
    </row>
    <row r="992" spans="1:9" x14ac:dyDescent="0.15">
      <c r="A992" s="2">
        <v>20</v>
      </c>
      <c r="B992" s="1" t="s">
        <v>209</v>
      </c>
      <c r="C992" s="4">
        <v>4</v>
      </c>
      <c r="D992" s="8">
        <v>1.25</v>
      </c>
      <c r="E992" s="4">
        <v>1</v>
      </c>
      <c r="F992" s="8">
        <v>0.43</v>
      </c>
      <c r="G992" s="4">
        <v>3</v>
      </c>
      <c r="H992" s="8">
        <v>3.49</v>
      </c>
      <c r="I992" s="4">
        <v>0</v>
      </c>
    </row>
    <row r="993" spans="1:9" x14ac:dyDescent="0.15">
      <c r="A993" s="2">
        <v>20</v>
      </c>
      <c r="B993" s="1" t="s">
        <v>155</v>
      </c>
      <c r="C993" s="4">
        <v>4</v>
      </c>
      <c r="D993" s="8">
        <v>1.25</v>
      </c>
      <c r="E993" s="4">
        <v>4</v>
      </c>
      <c r="F993" s="8">
        <v>1.71</v>
      </c>
      <c r="G993" s="4">
        <v>0</v>
      </c>
      <c r="H993" s="8">
        <v>0</v>
      </c>
      <c r="I993" s="4">
        <v>0</v>
      </c>
    </row>
    <row r="994" spans="1:9" x14ac:dyDescent="0.15">
      <c r="A994" s="2">
        <v>20</v>
      </c>
      <c r="B994" s="1" t="s">
        <v>159</v>
      </c>
      <c r="C994" s="4">
        <v>4</v>
      </c>
      <c r="D994" s="8">
        <v>1.25</v>
      </c>
      <c r="E994" s="4">
        <v>2</v>
      </c>
      <c r="F994" s="8">
        <v>0.85</v>
      </c>
      <c r="G994" s="4">
        <v>2</v>
      </c>
      <c r="H994" s="8">
        <v>2.33</v>
      </c>
      <c r="I994" s="4">
        <v>0</v>
      </c>
    </row>
    <row r="995" spans="1:9" x14ac:dyDescent="0.15">
      <c r="A995" s="2">
        <v>20</v>
      </c>
      <c r="B995" s="1" t="s">
        <v>139</v>
      </c>
      <c r="C995" s="4">
        <v>4</v>
      </c>
      <c r="D995" s="8">
        <v>1.25</v>
      </c>
      <c r="E995" s="4">
        <v>2</v>
      </c>
      <c r="F995" s="8">
        <v>0.85</v>
      </c>
      <c r="G995" s="4">
        <v>2</v>
      </c>
      <c r="H995" s="8">
        <v>2.33</v>
      </c>
      <c r="I995" s="4">
        <v>0</v>
      </c>
    </row>
    <row r="996" spans="1:9" x14ac:dyDescent="0.15">
      <c r="A996" s="2">
        <v>20</v>
      </c>
      <c r="B996" s="1" t="s">
        <v>144</v>
      </c>
      <c r="C996" s="4">
        <v>4</v>
      </c>
      <c r="D996" s="8">
        <v>1.25</v>
      </c>
      <c r="E996" s="4">
        <v>4</v>
      </c>
      <c r="F996" s="8">
        <v>1.71</v>
      </c>
      <c r="G996" s="4">
        <v>0</v>
      </c>
      <c r="H996" s="8">
        <v>0</v>
      </c>
      <c r="I996" s="4">
        <v>0</v>
      </c>
    </row>
    <row r="997" spans="1:9" x14ac:dyDescent="0.15">
      <c r="A997" s="1"/>
      <c r="C997" s="4"/>
      <c r="D997" s="8"/>
      <c r="E997" s="4"/>
      <c r="F997" s="8"/>
      <c r="G997" s="4"/>
      <c r="H997" s="8"/>
      <c r="I997" s="4"/>
    </row>
    <row r="998" spans="1:9" x14ac:dyDescent="0.15">
      <c r="A998" s="1" t="s">
        <v>44</v>
      </c>
      <c r="C998" s="4"/>
      <c r="D998" s="8"/>
      <c r="E998" s="4"/>
      <c r="F998" s="8"/>
      <c r="G998" s="4"/>
      <c r="H998" s="8"/>
      <c r="I998" s="4"/>
    </row>
    <row r="999" spans="1:9" x14ac:dyDescent="0.15">
      <c r="A999" s="2">
        <v>1</v>
      </c>
      <c r="B999" s="1" t="s">
        <v>141</v>
      </c>
      <c r="C999" s="4">
        <v>28</v>
      </c>
      <c r="D999" s="8">
        <v>5.05</v>
      </c>
      <c r="E999" s="4">
        <v>27</v>
      </c>
      <c r="F999" s="8">
        <v>7.76</v>
      </c>
      <c r="G999" s="4">
        <v>1</v>
      </c>
      <c r="H999" s="8">
        <v>0.48</v>
      </c>
      <c r="I999" s="4">
        <v>0</v>
      </c>
    </row>
    <row r="1000" spans="1:9" x14ac:dyDescent="0.15">
      <c r="A1000" s="2">
        <v>2</v>
      </c>
      <c r="B1000" s="1" t="s">
        <v>125</v>
      </c>
      <c r="C1000" s="4">
        <v>21</v>
      </c>
      <c r="D1000" s="8">
        <v>3.78</v>
      </c>
      <c r="E1000" s="4">
        <v>8</v>
      </c>
      <c r="F1000" s="8">
        <v>2.2999999999999998</v>
      </c>
      <c r="G1000" s="4">
        <v>13</v>
      </c>
      <c r="H1000" s="8">
        <v>6.28</v>
      </c>
      <c r="I1000" s="4">
        <v>0</v>
      </c>
    </row>
    <row r="1001" spans="1:9" x14ac:dyDescent="0.15">
      <c r="A1001" s="2">
        <v>3</v>
      </c>
      <c r="B1001" s="1" t="s">
        <v>143</v>
      </c>
      <c r="C1001" s="4">
        <v>19</v>
      </c>
      <c r="D1001" s="8">
        <v>3.42</v>
      </c>
      <c r="E1001" s="4">
        <v>16</v>
      </c>
      <c r="F1001" s="8">
        <v>4.5999999999999996</v>
      </c>
      <c r="G1001" s="4">
        <v>3</v>
      </c>
      <c r="H1001" s="8">
        <v>1.45</v>
      </c>
      <c r="I1001" s="4">
        <v>0</v>
      </c>
    </row>
    <row r="1002" spans="1:9" x14ac:dyDescent="0.15">
      <c r="A1002" s="2">
        <v>4</v>
      </c>
      <c r="B1002" s="1" t="s">
        <v>148</v>
      </c>
      <c r="C1002" s="4">
        <v>18</v>
      </c>
      <c r="D1002" s="8">
        <v>3.24</v>
      </c>
      <c r="E1002" s="4">
        <v>17</v>
      </c>
      <c r="F1002" s="8">
        <v>4.8899999999999997</v>
      </c>
      <c r="G1002" s="4">
        <v>1</v>
      </c>
      <c r="H1002" s="8">
        <v>0.48</v>
      </c>
      <c r="I1002" s="4">
        <v>0</v>
      </c>
    </row>
    <row r="1003" spans="1:9" x14ac:dyDescent="0.15">
      <c r="A1003" s="2">
        <v>4</v>
      </c>
      <c r="B1003" s="1" t="s">
        <v>140</v>
      </c>
      <c r="C1003" s="4">
        <v>18</v>
      </c>
      <c r="D1003" s="8">
        <v>3.24</v>
      </c>
      <c r="E1003" s="4">
        <v>17</v>
      </c>
      <c r="F1003" s="8">
        <v>4.8899999999999997</v>
      </c>
      <c r="G1003" s="4">
        <v>1</v>
      </c>
      <c r="H1003" s="8">
        <v>0.48</v>
      </c>
      <c r="I1003" s="4">
        <v>0</v>
      </c>
    </row>
    <row r="1004" spans="1:9" x14ac:dyDescent="0.15">
      <c r="A1004" s="2">
        <v>6</v>
      </c>
      <c r="B1004" s="1" t="s">
        <v>130</v>
      </c>
      <c r="C1004" s="4">
        <v>15</v>
      </c>
      <c r="D1004" s="8">
        <v>2.7</v>
      </c>
      <c r="E1004" s="4">
        <v>9</v>
      </c>
      <c r="F1004" s="8">
        <v>2.59</v>
      </c>
      <c r="G1004" s="4">
        <v>6</v>
      </c>
      <c r="H1004" s="8">
        <v>2.9</v>
      </c>
      <c r="I1004" s="4">
        <v>0</v>
      </c>
    </row>
    <row r="1005" spans="1:9" x14ac:dyDescent="0.15">
      <c r="A1005" s="2">
        <v>6</v>
      </c>
      <c r="B1005" s="1" t="s">
        <v>132</v>
      </c>
      <c r="C1005" s="4">
        <v>15</v>
      </c>
      <c r="D1005" s="8">
        <v>2.7</v>
      </c>
      <c r="E1005" s="4">
        <v>13</v>
      </c>
      <c r="F1005" s="8">
        <v>3.74</v>
      </c>
      <c r="G1005" s="4">
        <v>2</v>
      </c>
      <c r="H1005" s="8">
        <v>0.97</v>
      </c>
      <c r="I1005" s="4">
        <v>0</v>
      </c>
    </row>
    <row r="1006" spans="1:9" x14ac:dyDescent="0.15">
      <c r="A1006" s="2">
        <v>8</v>
      </c>
      <c r="B1006" s="1" t="s">
        <v>211</v>
      </c>
      <c r="C1006" s="4">
        <v>13</v>
      </c>
      <c r="D1006" s="8">
        <v>2.34</v>
      </c>
      <c r="E1006" s="4">
        <v>11</v>
      </c>
      <c r="F1006" s="8">
        <v>3.16</v>
      </c>
      <c r="G1006" s="4">
        <v>2</v>
      </c>
      <c r="H1006" s="8">
        <v>0.97</v>
      </c>
      <c r="I1006" s="4">
        <v>0</v>
      </c>
    </row>
    <row r="1007" spans="1:9" x14ac:dyDescent="0.15">
      <c r="A1007" s="2">
        <v>9</v>
      </c>
      <c r="B1007" s="1" t="s">
        <v>138</v>
      </c>
      <c r="C1007" s="4">
        <v>12</v>
      </c>
      <c r="D1007" s="8">
        <v>2.16</v>
      </c>
      <c r="E1007" s="4">
        <v>12</v>
      </c>
      <c r="F1007" s="8">
        <v>3.45</v>
      </c>
      <c r="G1007" s="4">
        <v>0</v>
      </c>
      <c r="H1007" s="8">
        <v>0</v>
      </c>
      <c r="I1007" s="4">
        <v>0</v>
      </c>
    </row>
    <row r="1008" spans="1:9" x14ac:dyDescent="0.15">
      <c r="A1008" s="2">
        <v>10</v>
      </c>
      <c r="B1008" s="1" t="s">
        <v>126</v>
      </c>
      <c r="C1008" s="4">
        <v>11</v>
      </c>
      <c r="D1008" s="8">
        <v>1.98</v>
      </c>
      <c r="E1008" s="4">
        <v>3</v>
      </c>
      <c r="F1008" s="8">
        <v>0.86</v>
      </c>
      <c r="G1008" s="4">
        <v>8</v>
      </c>
      <c r="H1008" s="8">
        <v>3.86</v>
      </c>
      <c r="I1008" s="4">
        <v>0</v>
      </c>
    </row>
    <row r="1009" spans="1:9" x14ac:dyDescent="0.15">
      <c r="A1009" s="2">
        <v>10</v>
      </c>
      <c r="B1009" s="1" t="s">
        <v>147</v>
      </c>
      <c r="C1009" s="4">
        <v>11</v>
      </c>
      <c r="D1009" s="8">
        <v>1.98</v>
      </c>
      <c r="E1009" s="4">
        <v>3</v>
      </c>
      <c r="F1009" s="8">
        <v>0.86</v>
      </c>
      <c r="G1009" s="4">
        <v>8</v>
      </c>
      <c r="H1009" s="8">
        <v>3.86</v>
      </c>
      <c r="I1009" s="4">
        <v>0</v>
      </c>
    </row>
    <row r="1010" spans="1:9" x14ac:dyDescent="0.15">
      <c r="A1010" s="2">
        <v>12</v>
      </c>
      <c r="B1010" s="1" t="s">
        <v>134</v>
      </c>
      <c r="C1010" s="4">
        <v>10</v>
      </c>
      <c r="D1010" s="8">
        <v>1.8</v>
      </c>
      <c r="E1010" s="4">
        <v>7</v>
      </c>
      <c r="F1010" s="8">
        <v>2.0099999999999998</v>
      </c>
      <c r="G1010" s="4">
        <v>3</v>
      </c>
      <c r="H1010" s="8">
        <v>1.45</v>
      </c>
      <c r="I1010" s="4">
        <v>0</v>
      </c>
    </row>
    <row r="1011" spans="1:9" x14ac:dyDescent="0.15">
      <c r="A1011" s="2">
        <v>12</v>
      </c>
      <c r="B1011" s="1" t="s">
        <v>166</v>
      </c>
      <c r="C1011" s="4">
        <v>10</v>
      </c>
      <c r="D1011" s="8">
        <v>1.8</v>
      </c>
      <c r="E1011" s="4">
        <v>8</v>
      </c>
      <c r="F1011" s="8">
        <v>2.2999999999999998</v>
      </c>
      <c r="G1011" s="4">
        <v>2</v>
      </c>
      <c r="H1011" s="8">
        <v>0.97</v>
      </c>
      <c r="I1011" s="4">
        <v>0</v>
      </c>
    </row>
    <row r="1012" spans="1:9" x14ac:dyDescent="0.15">
      <c r="A1012" s="2">
        <v>14</v>
      </c>
      <c r="B1012" s="1" t="s">
        <v>167</v>
      </c>
      <c r="C1012" s="4">
        <v>9</v>
      </c>
      <c r="D1012" s="8">
        <v>1.62</v>
      </c>
      <c r="E1012" s="4">
        <v>4</v>
      </c>
      <c r="F1012" s="8">
        <v>1.1499999999999999</v>
      </c>
      <c r="G1012" s="4">
        <v>5</v>
      </c>
      <c r="H1012" s="8">
        <v>2.42</v>
      </c>
      <c r="I1012" s="4">
        <v>0</v>
      </c>
    </row>
    <row r="1013" spans="1:9" x14ac:dyDescent="0.15">
      <c r="A1013" s="2">
        <v>14</v>
      </c>
      <c r="B1013" s="1" t="s">
        <v>187</v>
      </c>
      <c r="C1013" s="4">
        <v>9</v>
      </c>
      <c r="D1013" s="8">
        <v>1.62</v>
      </c>
      <c r="E1013" s="4">
        <v>3</v>
      </c>
      <c r="F1013" s="8">
        <v>0.86</v>
      </c>
      <c r="G1013" s="4">
        <v>6</v>
      </c>
      <c r="H1013" s="8">
        <v>2.9</v>
      </c>
      <c r="I1013" s="4">
        <v>0</v>
      </c>
    </row>
    <row r="1014" spans="1:9" x14ac:dyDescent="0.15">
      <c r="A1014" s="2">
        <v>14</v>
      </c>
      <c r="B1014" s="1" t="s">
        <v>150</v>
      </c>
      <c r="C1014" s="4">
        <v>9</v>
      </c>
      <c r="D1014" s="8">
        <v>1.62</v>
      </c>
      <c r="E1014" s="4">
        <v>3</v>
      </c>
      <c r="F1014" s="8">
        <v>0.86</v>
      </c>
      <c r="G1014" s="4">
        <v>6</v>
      </c>
      <c r="H1014" s="8">
        <v>2.9</v>
      </c>
      <c r="I1014" s="4">
        <v>0</v>
      </c>
    </row>
    <row r="1015" spans="1:9" x14ac:dyDescent="0.15">
      <c r="A1015" s="2">
        <v>14</v>
      </c>
      <c r="B1015" s="1" t="s">
        <v>139</v>
      </c>
      <c r="C1015" s="4">
        <v>9</v>
      </c>
      <c r="D1015" s="8">
        <v>1.62</v>
      </c>
      <c r="E1015" s="4">
        <v>4</v>
      </c>
      <c r="F1015" s="8">
        <v>1.1499999999999999</v>
      </c>
      <c r="G1015" s="4">
        <v>5</v>
      </c>
      <c r="H1015" s="8">
        <v>2.42</v>
      </c>
      <c r="I1015" s="4">
        <v>0</v>
      </c>
    </row>
    <row r="1016" spans="1:9" x14ac:dyDescent="0.15">
      <c r="A1016" s="2">
        <v>14</v>
      </c>
      <c r="B1016" s="1" t="s">
        <v>142</v>
      </c>
      <c r="C1016" s="4">
        <v>9</v>
      </c>
      <c r="D1016" s="8">
        <v>1.62</v>
      </c>
      <c r="E1016" s="4">
        <v>7</v>
      </c>
      <c r="F1016" s="8">
        <v>2.0099999999999998</v>
      </c>
      <c r="G1016" s="4">
        <v>2</v>
      </c>
      <c r="H1016" s="8">
        <v>0.97</v>
      </c>
      <c r="I1016" s="4">
        <v>0</v>
      </c>
    </row>
    <row r="1017" spans="1:9" x14ac:dyDescent="0.15">
      <c r="A1017" s="2">
        <v>19</v>
      </c>
      <c r="B1017" s="1" t="s">
        <v>131</v>
      </c>
      <c r="C1017" s="4">
        <v>8</v>
      </c>
      <c r="D1017" s="8">
        <v>1.44</v>
      </c>
      <c r="E1017" s="4">
        <v>1</v>
      </c>
      <c r="F1017" s="8">
        <v>0.28999999999999998</v>
      </c>
      <c r="G1017" s="4">
        <v>7</v>
      </c>
      <c r="H1017" s="8">
        <v>3.38</v>
      </c>
      <c r="I1017" s="4">
        <v>0</v>
      </c>
    </row>
    <row r="1018" spans="1:9" x14ac:dyDescent="0.15">
      <c r="A1018" s="2">
        <v>19</v>
      </c>
      <c r="B1018" s="1" t="s">
        <v>135</v>
      </c>
      <c r="C1018" s="4">
        <v>8</v>
      </c>
      <c r="D1018" s="8">
        <v>1.44</v>
      </c>
      <c r="E1018" s="4">
        <v>7</v>
      </c>
      <c r="F1018" s="8">
        <v>2.0099999999999998</v>
      </c>
      <c r="G1018" s="4">
        <v>1</v>
      </c>
      <c r="H1018" s="8">
        <v>0.48</v>
      </c>
      <c r="I1018" s="4">
        <v>0</v>
      </c>
    </row>
    <row r="1019" spans="1:9" x14ac:dyDescent="0.15">
      <c r="A1019" s="1"/>
      <c r="C1019" s="4"/>
      <c r="D1019" s="8"/>
      <c r="E1019" s="4"/>
      <c r="F1019" s="8"/>
      <c r="G1019" s="4"/>
      <c r="H1019" s="8"/>
      <c r="I1019" s="4"/>
    </row>
    <row r="1020" spans="1:9" x14ac:dyDescent="0.15">
      <c r="A1020" s="1" t="s">
        <v>45</v>
      </c>
      <c r="C1020" s="4"/>
      <c r="D1020" s="8"/>
      <c r="E1020" s="4"/>
      <c r="F1020" s="8"/>
      <c r="G1020" s="4"/>
      <c r="H1020" s="8"/>
      <c r="I1020" s="4"/>
    </row>
    <row r="1021" spans="1:9" x14ac:dyDescent="0.15">
      <c r="A1021" s="2">
        <v>1</v>
      </c>
      <c r="B1021" s="1" t="s">
        <v>125</v>
      </c>
      <c r="C1021" s="4">
        <v>27</v>
      </c>
      <c r="D1021" s="8">
        <v>6.78</v>
      </c>
      <c r="E1021" s="4">
        <v>13</v>
      </c>
      <c r="F1021" s="8">
        <v>4.33</v>
      </c>
      <c r="G1021" s="4">
        <v>14</v>
      </c>
      <c r="H1021" s="8">
        <v>14.74</v>
      </c>
      <c r="I1021" s="4">
        <v>0</v>
      </c>
    </row>
    <row r="1022" spans="1:9" x14ac:dyDescent="0.15">
      <c r="A1022" s="2">
        <v>2</v>
      </c>
      <c r="B1022" s="1" t="s">
        <v>138</v>
      </c>
      <c r="C1022" s="4">
        <v>16</v>
      </c>
      <c r="D1022" s="8">
        <v>4.0199999999999996</v>
      </c>
      <c r="E1022" s="4">
        <v>16</v>
      </c>
      <c r="F1022" s="8">
        <v>5.33</v>
      </c>
      <c r="G1022" s="4">
        <v>0</v>
      </c>
      <c r="H1022" s="8">
        <v>0</v>
      </c>
      <c r="I1022" s="4">
        <v>0</v>
      </c>
    </row>
    <row r="1023" spans="1:9" x14ac:dyDescent="0.15">
      <c r="A1023" s="2">
        <v>2</v>
      </c>
      <c r="B1023" s="1" t="s">
        <v>166</v>
      </c>
      <c r="C1023" s="4">
        <v>16</v>
      </c>
      <c r="D1023" s="8">
        <v>4.0199999999999996</v>
      </c>
      <c r="E1023" s="4">
        <v>15</v>
      </c>
      <c r="F1023" s="8">
        <v>5</v>
      </c>
      <c r="G1023" s="4">
        <v>1</v>
      </c>
      <c r="H1023" s="8">
        <v>1.05</v>
      </c>
      <c r="I1023" s="4">
        <v>0</v>
      </c>
    </row>
    <row r="1024" spans="1:9" x14ac:dyDescent="0.15">
      <c r="A1024" s="2">
        <v>4</v>
      </c>
      <c r="B1024" s="1" t="s">
        <v>181</v>
      </c>
      <c r="C1024" s="4">
        <v>15</v>
      </c>
      <c r="D1024" s="8">
        <v>3.77</v>
      </c>
      <c r="E1024" s="4">
        <v>14</v>
      </c>
      <c r="F1024" s="8">
        <v>4.67</v>
      </c>
      <c r="G1024" s="4">
        <v>1</v>
      </c>
      <c r="H1024" s="8">
        <v>1.05</v>
      </c>
      <c r="I1024" s="4">
        <v>0</v>
      </c>
    </row>
    <row r="1025" spans="1:9" x14ac:dyDescent="0.15">
      <c r="A1025" s="2">
        <v>4</v>
      </c>
      <c r="B1025" s="1" t="s">
        <v>143</v>
      </c>
      <c r="C1025" s="4">
        <v>15</v>
      </c>
      <c r="D1025" s="8">
        <v>3.77</v>
      </c>
      <c r="E1025" s="4">
        <v>15</v>
      </c>
      <c r="F1025" s="8">
        <v>5</v>
      </c>
      <c r="G1025" s="4">
        <v>0</v>
      </c>
      <c r="H1025" s="8">
        <v>0</v>
      </c>
      <c r="I1025" s="4">
        <v>0</v>
      </c>
    </row>
    <row r="1026" spans="1:9" x14ac:dyDescent="0.15">
      <c r="A1026" s="2">
        <v>6</v>
      </c>
      <c r="B1026" s="1" t="s">
        <v>141</v>
      </c>
      <c r="C1026" s="4">
        <v>14</v>
      </c>
      <c r="D1026" s="8">
        <v>3.52</v>
      </c>
      <c r="E1026" s="4">
        <v>14</v>
      </c>
      <c r="F1026" s="8">
        <v>4.67</v>
      </c>
      <c r="G1026" s="4">
        <v>0</v>
      </c>
      <c r="H1026" s="8">
        <v>0</v>
      </c>
      <c r="I1026" s="4">
        <v>0</v>
      </c>
    </row>
    <row r="1027" spans="1:9" x14ac:dyDescent="0.15">
      <c r="A1027" s="2">
        <v>7</v>
      </c>
      <c r="B1027" s="1" t="s">
        <v>140</v>
      </c>
      <c r="C1027" s="4">
        <v>12</v>
      </c>
      <c r="D1027" s="8">
        <v>3.02</v>
      </c>
      <c r="E1027" s="4">
        <v>12</v>
      </c>
      <c r="F1027" s="8">
        <v>4</v>
      </c>
      <c r="G1027" s="4">
        <v>0</v>
      </c>
      <c r="H1027" s="8">
        <v>0</v>
      </c>
      <c r="I1027" s="4">
        <v>0</v>
      </c>
    </row>
    <row r="1028" spans="1:9" x14ac:dyDescent="0.15">
      <c r="A1028" s="2">
        <v>8</v>
      </c>
      <c r="B1028" s="1" t="s">
        <v>188</v>
      </c>
      <c r="C1028" s="4">
        <v>11</v>
      </c>
      <c r="D1028" s="8">
        <v>2.76</v>
      </c>
      <c r="E1028" s="4">
        <v>11</v>
      </c>
      <c r="F1028" s="8">
        <v>3.67</v>
      </c>
      <c r="G1028" s="4">
        <v>0</v>
      </c>
      <c r="H1028" s="8">
        <v>0</v>
      </c>
      <c r="I1028" s="4">
        <v>0</v>
      </c>
    </row>
    <row r="1029" spans="1:9" x14ac:dyDescent="0.15">
      <c r="A1029" s="2">
        <v>8</v>
      </c>
      <c r="B1029" s="1" t="s">
        <v>129</v>
      </c>
      <c r="C1029" s="4">
        <v>11</v>
      </c>
      <c r="D1029" s="8">
        <v>2.76</v>
      </c>
      <c r="E1029" s="4">
        <v>6</v>
      </c>
      <c r="F1029" s="8">
        <v>2</v>
      </c>
      <c r="G1029" s="4">
        <v>4</v>
      </c>
      <c r="H1029" s="8">
        <v>4.21</v>
      </c>
      <c r="I1029" s="4">
        <v>1</v>
      </c>
    </row>
    <row r="1030" spans="1:9" x14ac:dyDescent="0.15">
      <c r="A1030" s="2">
        <v>8</v>
      </c>
      <c r="B1030" s="1" t="s">
        <v>135</v>
      </c>
      <c r="C1030" s="4">
        <v>11</v>
      </c>
      <c r="D1030" s="8">
        <v>2.76</v>
      </c>
      <c r="E1030" s="4">
        <v>11</v>
      </c>
      <c r="F1030" s="8">
        <v>3.67</v>
      </c>
      <c r="G1030" s="4">
        <v>0</v>
      </c>
      <c r="H1030" s="8">
        <v>0</v>
      </c>
      <c r="I1030" s="4">
        <v>0</v>
      </c>
    </row>
    <row r="1031" spans="1:9" x14ac:dyDescent="0.15">
      <c r="A1031" s="2">
        <v>11</v>
      </c>
      <c r="B1031" s="1" t="s">
        <v>132</v>
      </c>
      <c r="C1031" s="4">
        <v>10</v>
      </c>
      <c r="D1031" s="8">
        <v>2.5099999999999998</v>
      </c>
      <c r="E1031" s="4">
        <v>8</v>
      </c>
      <c r="F1031" s="8">
        <v>2.67</v>
      </c>
      <c r="G1031" s="4">
        <v>2</v>
      </c>
      <c r="H1031" s="8">
        <v>2.11</v>
      </c>
      <c r="I1031" s="4">
        <v>0</v>
      </c>
    </row>
    <row r="1032" spans="1:9" x14ac:dyDescent="0.15">
      <c r="A1032" s="2">
        <v>12</v>
      </c>
      <c r="B1032" s="1" t="s">
        <v>130</v>
      </c>
      <c r="C1032" s="4">
        <v>9</v>
      </c>
      <c r="D1032" s="8">
        <v>2.2599999999999998</v>
      </c>
      <c r="E1032" s="4">
        <v>8</v>
      </c>
      <c r="F1032" s="8">
        <v>2.67</v>
      </c>
      <c r="G1032" s="4">
        <v>1</v>
      </c>
      <c r="H1032" s="8">
        <v>1.05</v>
      </c>
      <c r="I1032" s="4">
        <v>0</v>
      </c>
    </row>
    <row r="1033" spans="1:9" x14ac:dyDescent="0.15">
      <c r="A1033" s="2">
        <v>13</v>
      </c>
      <c r="B1033" s="1" t="s">
        <v>127</v>
      </c>
      <c r="C1033" s="4">
        <v>8</v>
      </c>
      <c r="D1033" s="8">
        <v>2.0099999999999998</v>
      </c>
      <c r="E1033" s="4">
        <v>7</v>
      </c>
      <c r="F1033" s="8">
        <v>2.33</v>
      </c>
      <c r="G1033" s="4">
        <v>1</v>
      </c>
      <c r="H1033" s="8">
        <v>1.05</v>
      </c>
      <c r="I1033" s="4">
        <v>0</v>
      </c>
    </row>
    <row r="1034" spans="1:9" x14ac:dyDescent="0.15">
      <c r="A1034" s="2">
        <v>13</v>
      </c>
      <c r="B1034" s="1" t="s">
        <v>191</v>
      </c>
      <c r="C1034" s="4">
        <v>8</v>
      </c>
      <c r="D1034" s="8">
        <v>2.0099999999999998</v>
      </c>
      <c r="E1034" s="4">
        <v>5</v>
      </c>
      <c r="F1034" s="8">
        <v>1.67</v>
      </c>
      <c r="G1034" s="4">
        <v>3</v>
      </c>
      <c r="H1034" s="8">
        <v>3.16</v>
      </c>
      <c r="I1034" s="4">
        <v>0</v>
      </c>
    </row>
    <row r="1035" spans="1:9" x14ac:dyDescent="0.15">
      <c r="A1035" s="2">
        <v>15</v>
      </c>
      <c r="B1035" s="1" t="s">
        <v>160</v>
      </c>
      <c r="C1035" s="4">
        <v>7</v>
      </c>
      <c r="D1035" s="8">
        <v>1.76</v>
      </c>
      <c r="E1035" s="4">
        <v>6</v>
      </c>
      <c r="F1035" s="8">
        <v>2</v>
      </c>
      <c r="G1035" s="4">
        <v>1</v>
      </c>
      <c r="H1035" s="8">
        <v>1.05</v>
      </c>
      <c r="I1035" s="4">
        <v>0</v>
      </c>
    </row>
    <row r="1036" spans="1:9" x14ac:dyDescent="0.15">
      <c r="A1036" s="2">
        <v>15</v>
      </c>
      <c r="B1036" s="1" t="s">
        <v>150</v>
      </c>
      <c r="C1036" s="4">
        <v>7</v>
      </c>
      <c r="D1036" s="8">
        <v>1.76</v>
      </c>
      <c r="E1036" s="4">
        <v>4</v>
      </c>
      <c r="F1036" s="8">
        <v>1.33</v>
      </c>
      <c r="G1036" s="4">
        <v>3</v>
      </c>
      <c r="H1036" s="8">
        <v>3.16</v>
      </c>
      <c r="I1036" s="4">
        <v>0</v>
      </c>
    </row>
    <row r="1037" spans="1:9" x14ac:dyDescent="0.15">
      <c r="A1037" s="2">
        <v>15</v>
      </c>
      <c r="B1037" s="1" t="s">
        <v>171</v>
      </c>
      <c r="C1037" s="4">
        <v>7</v>
      </c>
      <c r="D1037" s="8">
        <v>1.76</v>
      </c>
      <c r="E1037" s="4">
        <v>6</v>
      </c>
      <c r="F1037" s="8">
        <v>2</v>
      </c>
      <c r="G1037" s="4">
        <v>0</v>
      </c>
      <c r="H1037" s="8">
        <v>0</v>
      </c>
      <c r="I1037" s="4">
        <v>1</v>
      </c>
    </row>
    <row r="1038" spans="1:9" x14ac:dyDescent="0.15">
      <c r="A1038" s="2">
        <v>18</v>
      </c>
      <c r="B1038" s="1" t="s">
        <v>167</v>
      </c>
      <c r="C1038" s="4">
        <v>6</v>
      </c>
      <c r="D1038" s="8">
        <v>1.51</v>
      </c>
      <c r="E1038" s="4">
        <v>4</v>
      </c>
      <c r="F1038" s="8">
        <v>1.33</v>
      </c>
      <c r="G1038" s="4">
        <v>2</v>
      </c>
      <c r="H1038" s="8">
        <v>2.11</v>
      </c>
      <c r="I1038" s="4">
        <v>0</v>
      </c>
    </row>
    <row r="1039" spans="1:9" x14ac:dyDescent="0.15">
      <c r="A1039" s="2">
        <v>18</v>
      </c>
      <c r="B1039" s="1" t="s">
        <v>128</v>
      </c>
      <c r="C1039" s="4">
        <v>6</v>
      </c>
      <c r="D1039" s="8">
        <v>1.51</v>
      </c>
      <c r="E1039" s="4">
        <v>6</v>
      </c>
      <c r="F1039" s="8">
        <v>2</v>
      </c>
      <c r="G1039" s="4">
        <v>0</v>
      </c>
      <c r="H1039" s="8">
        <v>0</v>
      </c>
      <c r="I1039" s="4">
        <v>0</v>
      </c>
    </row>
    <row r="1040" spans="1:9" x14ac:dyDescent="0.15">
      <c r="A1040" s="2">
        <v>18</v>
      </c>
      <c r="B1040" s="1" t="s">
        <v>155</v>
      </c>
      <c r="C1040" s="4">
        <v>6</v>
      </c>
      <c r="D1040" s="8">
        <v>1.51</v>
      </c>
      <c r="E1040" s="4">
        <v>6</v>
      </c>
      <c r="F1040" s="8">
        <v>2</v>
      </c>
      <c r="G1040" s="4">
        <v>0</v>
      </c>
      <c r="H1040" s="8">
        <v>0</v>
      </c>
      <c r="I1040" s="4">
        <v>0</v>
      </c>
    </row>
    <row r="1041" spans="1:9" x14ac:dyDescent="0.15">
      <c r="A1041" s="2">
        <v>18</v>
      </c>
      <c r="B1041" s="1" t="s">
        <v>146</v>
      </c>
      <c r="C1041" s="4">
        <v>6</v>
      </c>
      <c r="D1041" s="8">
        <v>1.51</v>
      </c>
      <c r="E1041" s="4">
        <v>4</v>
      </c>
      <c r="F1041" s="8">
        <v>1.33</v>
      </c>
      <c r="G1041" s="4">
        <v>2</v>
      </c>
      <c r="H1041" s="8">
        <v>2.11</v>
      </c>
      <c r="I1041" s="4">
        <v>0</v>
      </c>
    </row>
    <row r="1042" spans="1:9" x14ac:dyDescent="0.15">
      <c r="A1042" s="2">
        <v>18</v>
      </c>
      <c r="B1042" s="1" t="s">
        <v>139</v>
      </c>
      <c r="C1042" s="4">
        <v>6</v>
      </c>
      <c r="D1042" s="8">
        <v>1.51</v>
      </c>
      <c r="E1042" s="4">
        <v>4</v>
      </c>
      <c r="F1042" s="8">
        <v>1.33</v>
      </c>
      <c r="G1042" s="4">
        <v>2</v>
      </c>
      <c r="H1042" s="8">
        <v>2.11</v>
      </c>
      <c r="I1042" s="4">
        <v>0</v>
      </c>
    </row>
    <row r="1043" spans="1:9" x14ac:dyDescent="0.15">
      <c r="A1043" s="1"/>
      <c r="C1043" s="4"/>
      <c r="D1043" s="8"/>
      <c r="E1043" s="4"/>
      <c r="F1043" s="8"/>
      <c r="G1043" s="4"/>
      <c r="H1043" s="8"/>
      <c r="I1043" s="4"/>
    </row>
    <row r="1044" spans="1:9" x14ac:dyDescent="0.15">
      <c r="A1044" s="1" t="s">
        <v>46</v>
      </c>
      <c r="C1044" s="4"/>
      <c r="D1044" s="8"/>
      <c r="E1044" s="4"/>
      <c r="F1044" s="8"/>
      <c r="G1044" s="4"/>
      <c r="H1044" s="8"/>
      <c r="I1044" s="4"/>
    </row>
    <row r="1045" spans="1:9" x14ac:dyDescent="0.15">
      <c r="A1045" s="2">
        <v>1</v>
      </c>
      <c r="B1045" s="1" t="s">
        <v>141</v>
      </c>
      <c r="C1045" s="4">
        <v>53</v>
      </c>
      <c r="D1045" s="8">
        <v>6.94</v>
      </c>
      <c r="E1045" s="4">
        <v>50</v>
      </c>
      <c r="F1045" s="8">
        <v>9.6</v>
      </c>
      <c r="G1045" s="4">
        <v>3</v>
      </c>
      <c r="H1045" s="8">
        <v>1.25</v>
      </c>
      <c r="I1045" s="4">
        <v>0</v>
      </c>
    </row>
    <row r="1046" spans="1:9" x14ac:dyDescent="0.15">
      <c r="A1046" s="2">
        <v>2</v>
      </c>
      <c r="B1046" s="1" t="s">
        <v>143</v>
      </c>
      <c r="C1046" s="4">
        <v>46</v>
      </c>
      <c r="D1046" s="8">
        <v>6.02</v>
      </c>
      <c r="E1046" s="4">
        <v>45</v>
      </c>
      <c r="F1046" s="8">
        <v>8.64</v>
      </c>
      <c r="G1046" s="4">
        <v>1</v>
      </c>
      <c r="H1046" s="8">
        <v>0.42</v>
      </c>
      <c r="I1046" s="4">
        <v>0</v>
      </c>
    </row>
    <row r="1047" spans="1:9" x14ac:dyDescent="0.15">
      <c r="A1047" s="2">
        <v>3</v>
      </c>
      <c r="B1047" s="1" t="s">
        <v>134</v>
      </c>
      <c r="C1047" s="4">
        <v>33</v>
      </c>
      <c r="D1047" s="8">
        <v>4.32</v>
      </c>
      <c r="E1047" s="4">
        <v>28</v>
      </c>
      <c r="F1047" s="8">
        <v>5.37</v>
      </c>
      <c r="G1047" s="4">
        <v>5</v>
      </c>
      <c r="H1047" s="8">
        <v>2.08</v>
      </c>
      <c r="I1047" s="4">
        <v>0</v>
      </c>
    </row>
    <row r="1048" spans="1:9" x14ac:dyDescent="0.15">
      <c r="A1048" s="2">
        <v>4</v>
      </c>
      <c r="B1048" s="1" t="s">
        <v>125</v>
      </c>
      <c r="C1048" s="4">
        <v>25</v>
      </c>
      <c r="D1048" s="8">
        <v>3.27</v>
      </c>
      <c r="E1048" s="4">
        <v>12</v>
      </c>
      <c r="F1048" s="8">
        <v>2.2999999999999998</v>
      </c>
      <c r="G1048" s="4">
        <v>13</v>
      </c>
      <c r="H1048" s="8">
        <v>5.42</v>
      </c>
      <c r="I1048" s="4">
        <v>0</v>
      </c>
    </row>
    <row r="1049" spans="1:9" x14ac:dyDescent="0.15">
      <c r="A1049" s="2">
        <v>4</v>
      </c>
      <c r="B1049" s="1" t="s">
        <v>138</v>
      </c>
      <c r="C1049" s="4">
        <v>25</v>
      </c>
      <c r="D1049" s="8">
        <v>3.27</v>
      </c>
      <c r="E1049" s="4">
        <v>25</v>
      </c>
      <c r="F1049" s="8">
        <v>4.8</v>
      </c>
      <c r="G1049" s="4">
        <v>0</v>
      </c>
      <c r="H1049" s="8">
        <v>0</v>
      </c>
      <c r="I1049" s="4">
        <v>0</v>
      </c>
    </row>
    <row r="1050" spans="1:9" x14ac:dyDescent="0.15">
      <c r="A1050" s="2">
        <v>6</v>
      </c>
      <c r="B1050" s="1" t="s">
        <v>160</v>
      </c>
      <c r="C1050" s="4">
        <v>23</v>
      </c>
      <c r="D1050" s="8">
        <v>3.01</v>
      </c>
      <c r="E1050" s="4">
        <v>13</v>
      </c>
      <c r="F1050" s="8">
        <v>2.5</v>
      </c>
      <c r="G1050" s="4">
        <v>10</v>
      </c>
      <c r="H1050" s="8">
        <v>4.17</v>
      </c>
      <c r="I1050" s="4">
        <v>0</v>
      </c>
    </row>
    <row r="1051" spans="1:9" x14ac:dyDescent="0.15">
      <c r="A1051" s="2">
        <v>7</v>
      </c>
      <c r="B1051" s="1" t="s">
        <v>130</v>
      </c>
      <c r="C1051" s="4">
        <v>20</v>
      </c>
      <c r="D1051" s="8">
        <v>2.62</v>
      </c>
      <c r="E1051" s="4">
        <v>16</v>
      </c>
      <c r="F1051" s="8">
        <v>3.07</v>
      </c>
      <c r="G1051" s="4">
        <v>4</v>
      </c>
      <c r="H1051" s="8">
        <v>1.67</v>
      </c>
      <c r="I1051" s="4">
        <v>0</v>
      </c>
    </row>
    <row r="1052" spans="1:9" x14ac:dyDescent="0.15">
      <c r="A1052" s="2">
        <v>8</v>
      </c>
      <c r="B1052" s="1" t="s">
        <v>140</v>
      </c>
      <c r="C1052" s="4">
        <v>19</v>
      </c>
      <c r="D1052" s="8">
        <v>2.4900000000000002</v>
      </c>
      <c r="E1052" s="4">
        <v>18</v>
      </c>
      <c r="F1052" s="8">
        <v>3.45</v>
      </c>
      <c r="G1052" s="4">
        <v>1</v>
      </c>
      <c r="H1052" s="8">
        <v>0.42</v>
      </c>
      <c r="I1052" s="4">
        <v>0</v>
      </c>
    </row>
    <row r="1053" spans="1:9" x14ac:dyDescent="0.15">
      <c r="A1053" s="2">
        <v>9</v>
      </c>
      <c r="B1053" s="1" t="s">
        <v>132</v>
      </c>
      <c r="C1053" s="4">
        <v>18</v>
      </c>
      <c r="D1053" s="8">
        <v>2.36</v>
      </c>
      <c r="E1053" s="4">
        <v>14</v>
      </c>
      <c r="F1053" s="8">
        <v>2.69</v>
      </c>
      <c r="G1053" s="4">
        <v>4</v>
      </c>
      <c r="H1053" s="8">
        <v>1.67</v>
      </c>
      <c r="I1053" s="4">
        <v>0</v>
      </c>
    </row>
    <row r="1054" spans="1:9" x14ac:dyDescent="0.15">
      <c r="A1054" s="2">
        <v>10</v>
      </c>
      <c r="B1054" s="1" t="s">
        <v>142</v>
      </c>
      <c r="C1054" s="4">
        <v>17</v>
      </c>
      <c r="D1054" s="8">
        <v>2.23</v>
      </c>
      <c r="E1054" s="4">
        <v>14</v>
      </c>
      <c r="F1054" s="8">
        <v>2.69</v>
      </c>
      <c r="G1054" s="4">
        <v>3</v>
      </c>
      <c r="H1054" s="8">
        <v>1.25</v>
      </c>
      <c r="I1054" s="4">
        <v>0</v>
      </c>
    </row>
    <row r="1055" spans="1:9" x14ac:dyDescent="0.15">
      <c r="A1055" s="2">
        <v>11</v>
      </c>
      <c r="B1055" s="1" t="s">
        <v>127</v>
      </c>
      <c r="C1055" s="4">
        <v>16</v>
      </c>
      <c r="D1055" s="8">
        <v>2.09</v>
      </c>
      <c r="E1055" s="4">
        <v>7</v>
      </c>
      <c r="F1055" s="8">
        <v>1.34</v>
      </c>
      <c r="G1055" s="4">
        <v>9</v>
      </c>
      <c r="H1055" s="8">
        <v>3.75</v>
      </c>
      <c r="I1055" s="4">
        <v>0</v>
      </c>
    </row>
    <row r="1056" spans="1:9" x14ac:dyDescent="0.15">
      <c r="A1056" s="2">
        <v>11</v>
      </c>
      <c r="B1056" s="1" t="s">
        <v>144</v>
      </c>
      <c r="C1056" s="4">
        <v>16</v>
      </c>
      <c r="D1056" s="8">
        <v>2.09</v>
      </c>
      <c r="E1056" s="4">
        <v>16</v>
      </c>
      <c r="F1056" s="8">
        <v>3.07</v>
      </c>
      <c r="G1056" s="4">
        <v>0</v>
      </c>
      <c r="H1056" s="8">
        <v>0</v>
      </c>
      <c r="I1056" s="4">
        <v>0</v>
      </c>
    </row>
    <row r="1057" spans="1:9" x14ac:dyDescent="0.15">
      <c r="A1057" s="2">
        <v>13</v>
      </c>
      <c r="B1057" s="1" t="s">
        <v>167</v>
      </c>
      <c r="C1057" s="4">
        <v>15</v>
      </c>
      <c r="D1057" s="8">
        <v>1.96</v>
      </c>
      <c r="E1057" s="4">
        <v>7</v>
      </c>
      <c r="F1057" s="8">
        <v>1.34</v>
      </c>
      <c r="G1057" s="4">
        <v>8</v>
      </c>
      <c r="H1057" s="8">
        <v>3.33</v>
      </c>
      <c r="I1057" s="4">
        <v>0</v>
      </c>
    </row>
    <row r="1058" spans="1:9" x14ac:dyDescent="0.15">
      <c r="A1058" s="2">
        <v>14</v>
      </c>
      <c r="B1058" s="1" t="s">
        <v>126</v>
      </c>
      <c r="C1058" s="4">
        <v>14</v>
      </c>
      <c r="D1058" s="8">
        <v>1.83</v>
      </c>
      <c r="E1058" s="4">
        <v>4</v>
      </c>
      <c r="F1058" s="8">
        <v>0.77</v>
      </c>
      <c r="G1058" s="4">
        <v>10</v>
      </c>
      <c r="H1058" s="8">
        <v>4.17</v>
      </c>
      <c r="I1058" s="4">
        <v>0</v>
      </c>
    </row>
    <row r="1059" spans="1:9" x14ac:dyDescent="0.15">
      <c r="A1059" s="2">
        <v>15</v>
      </c>
      <c r="B1059" s="1" t="s">
        <v>155</v>
      </c>
      <c r="C1059" s="4">
        <v>12</v>
      </c>
      <c r="D1059" s="8">
        <v>1.57</v>
      </c>
      <c r="E1059" s="4">
        <v>11</v>
      </c>
      <c r="F1059" s="8">
        <v>2.11</v>
      </c>
      <c r="G1059" s="4">
        <v>1</v>
      </c>
      <c r="H1059" s="8">
        <v>0.42</v>
      </c>
      <c r="I1059" s="4">
        <v>0</v>
      </c>
    </row>
    <row r="1060" spans="1:9" x14ac:dyDescent="0.15">
      <c r="A1060" s="2">
        <v>15</v>
      </c>
      <c r="B1060" s="1" t="s">
        <v>137</v>
      </c>
      <c r="C1060" s="4">
        <v>12</v>
      </c>
      <c r="D1060" s="8">
        <v>1.57</v>
      </c>
      <c r="E1060" s="4">
        <v>12</v>
      </c>
      <c r="F1060" s="8">
        <v>2.2999999999999998</v>
      </c>
      <c r="G1060" s="4">
        <v>0</v>
      </c>
      <c r="H1060" s="8">
        <v>0</v>
      </c>
      <c r="I1060" s="4">
        <v>0</v>
      </c>
    </row>
    <row r="1061" spans="1:9" x14ac:dyDescent="0.15">
      <c r="A1061" s="2">
        <v>17</v>
      </c>
      <c r="B1061" s="1" t="s">
        <v>147</v>
      </c>
      <c r="C1061" s="4">
        <v>11</v>
      </c>
      <c r="D1061" s="8">
        <v>1.44</v>
      </c>
      <c r="E1061" s="4">
        <v>5</v>
      </c>
      <c r="F1061" s="8">
        <v>0.96</v>
      </c>
      <c r="G1061" s="4">
        <v>6</v>
      </c>
      <c r="H1061" s="8">
        <v>2.5</v>
      </c>
      <c r="I1061" s="4">
        <v>0</v>
      </c>
    </row>
    <row r="1062" spans="1:9" x14ac:dyDescent="0.15">
      <c r="A1062" s="2">
        <v>17</v>
      </c>
      <c r="B1062" s="1" t="s">
        <v>136</v>
      </c>
      <c r="C1062" s="4">
        <v>11</v>
      </c>
      <c r="D1062" s="8">
        <v>1.44</v>
      </c>
      <c r="E1062" s="4">
        <v>10</v>
      </c>
      <c r="F1062" s="8">
        <v>1.92</v>
      </c>
      <c r="G1062" s="4">
        <v>1</v>
      </c>
      <c r="H1062" s="8">
        <v>0.42</v>
      </c>
      <c r="I1062" s="4">
        <v>0</v>
      </c>
    </row>
    <row r="1063" spans="1:9" x14ac:dyDescent="0.15">
      <c r="A1063" s="2">
        <v>17</v>
      </c>
      <c r="B1063" s="1" t="s">
        <v>166</v>
      </c>
      <c r="C1063" s="4">
        <v>11</v>
      </c>
      <c r="D1063" s="8">
        <v>1.44</v>
      </c>
      <c r="E1063" s="4">
        <v>8</v>
      </c>
      <c r="F1063" s="8">
        <v>1.54</v>
      </c>
      <c r="G1063" s="4">
        <v>3</v>
      </c>
      <c r="H1063" s="8">
        <v>1.25</v>
      </c>
      <c r="I1063" s="4">
        <v>0</v>
      </c>
    </row>
    <row r="1064" spans="1:9" x14ac:dyDescent="0.15">
      <c r="A1064" s="2">
        <v>20</v>
      </c>
      <c r="B1064" s="1" t="s">
        <v>135</v>
      </c>
      <c r="C1064" s="4">
        <v>10</v>
      </c>
      <c r="D1064" s="8">
        <v>1.31</v>
      </c>
      <c r="E1064" s="4">
        <v>9</v>
      </c>
      <c r="F1064" s="8">
        <v>1.73</v>
      </c>
      <c r="G1064" s="4">
        <v>1</v>
      </c>
      <c r="H1064" s="8">
        <v>0.42</v>
      </c>
      <c r="I1064" s="4">
        <v>0</v>
      </c>
    </row>
    <row r="1065" spans="1:9" x14ac:dyDescent="0.15">
      <c r="A1065" s="1"/>
      <c r="C1065" s="4"/>
      <c r="D1065" s="8"/>
      <c r="E1065" s="4"/>
      <c r="F1065" s="8"/>
      <c r="G1065" s="4"/>
      <c r="H1065" s="8"/>
      <c r="I1065" s="4"/>
    </row>
    <row r="1066" spans="1:9" x14ac:dyDescent="0.15">
      <c r="A1066" s="1" t="s">
        <v>47</v>
      </c>
      <c r="C1066" s="4"/>
      <c r="D1066" s="8"/>
      <c r="E1066" s="4"/>
      <c r="F1066" s="8"/>
      <c r="G1066" s="4"/>
      <c r="H1066" s="8"/>
      <c r="I1066" s="4"/>
    </row>
    <row r="1067" spans="1:9" x14ac:dyDescent="0.15">
      <c r="A1067" s="2">
        <v>1</v>
      </c>
      <c r="B1067" s="1" t="s">
        <v>125</v>
      </c>
      <c r="C1067" s="4">
        <v>25</v>
      </c>
      <c r="D1067" s="8">
        <v>5.95</v>
      </c>
      <c r="E1067" s="4">
        <v>4</v>
      </c>
      <c r="F1067" s="8">
        <v>1.4</v>
      </c>
      <c r="G1067" s="4">
        <v>21</v>
      </c>
      <c r="H1067" s="8">
        <v>15.67</v>
      </c>
      <c r="I1067" s="4">
        <v>0</v>
      </c>
    </row>
    <row r="1068" spans="1:9" x14ac:dyDescent="0.15">
      <c r="A1068" s="2">
        <v>2</v>
      </c>
      <c r="B1068" s="1" t="s">
        <v>138</v>
      </c>
      <c r="C1068" s="4">
        <v>18</v>
      </c>
      <c r="D1068" s="8">
        <v>4.29</v>
      </c>
      <c r="E1068" s="4">
        <v>18</v>
      </c>
      <c r="F1068" s="8">
        <v>6.32</v>
      </c>
      <c r="G1068" s="4">
        <v>0</v>
      </c>
      <c r="H1068" s="8">
        <v>0</v>
      </c>
      <c r="I1068" s="4">
        <v>0</v>
      </c>
    </row>
    <row r="1069" spans="1:9" x14ac:dyDescent="0.15">
      <c r="A1069" s="2">
        <v>3</v>
      </c>
      <c r="B1069" s="1" t="s">
        <v>148</v>
      </c>
      <c r="C1069" s="4">
        <v>15</v>
      </c>
      <c r="D1069" s="8">
        <v>3.57</v>
      </c>
      <c r="E1069" s="4">
        <v>15</v>
      </c>
      <c r="F1069" s="8">
        <v>5.26</v>
      </c>
      <c r="G1069" s="4">
        <v>0</v>
      </c>
      <c r="H1069" s="8">
        <v>0</v>
      </c>
      <c r="I1069" s="4">
        <v>0</v>
      </c>
    </row>
    <row r="1070" spans="1:9" x14ac:dyDescent="0.15">
      <c r="A1070" s="2">
        <v>3</v>
      </c>
      <c r="B1070" s="1" t="s">
        <v>141</v>
      </c>
      <c r="C1070" s="4">
        <v>15</v>
      </c>
      <c r="D1070" s="8">
        <v>3.57</v>
      </c>
      <c r="E1070" s="4">
        <v>13</v>
      </c>
      <c r="F1070" s="8">
        <v>4.5599999999999996</v>
      </c>
      <c r="G1070" s="4">
        <v>2</v>
      </c>
      <c r="H1070" s="8">
        <v>1.49</v>
      </c>
      <c r="I1070" s="4">
        <v>0</v>
      </c>
    </row>
    <row r="1071" spans="1:9" x14ac:dyDescent="0.15">
      <c r="A1071" s="2">
        <v>5</v>
      </c>
      <c r="B1071" s="1" t="s">
        <v>127</v>
      </c>
      <c r="C1071" s="4">
        <v>14</v>
      </c>
      <c r="D1071" s="8">
        <v>3.33</v>
      </c>
      <c r="E1071" s="4">
        <v>9</v>
      </c>
      <c r="F1071" s="8">
        <v>3.16</v>
      </c>
      <c r="G1071" s="4">
        <v>5</v>
      </c>
      <c r="H1071" s="8">
        <v>3.73</v>
      </c>
      <c r="I1071" s="4">
        <v>0</v>
      </c>
    </row>
    <row r="1072" spans="1:9" x14ac:dyDescent="0.15">
      <c r="A1072" s="2">
        <v>5</v>
      </c>
      <c r="B1072" s="1" t="s">
        <v>132</v>
      </c>
      <c r="C1072" s="4">
        <v>14</v>
      </c>
      <c r="D1072" s="8">
        <v>3.33</v>
      </c>
      <c r="E1072" s="4">
        <v>12</v>
      </c>
      <c r="F1072" s="8">
        <v>4.21</v>
      </c>
      <c r="G1072" s="4">
        <v>1</v>
      </c>
      <c r="H1072" s="8">
        <v>0.75</v>
      </c>
      <c r="I1072" s="4">
        <v>1</v>
      </c>
    </row>
    <row r="1073" spans="1:9" x14ac:dyDescent="0.15">
      <c r="A1073" s="2">
        <v>5</v>
      </c>
      <c r="B1073" s="1" t="s">
        <v>140</v>
      </c>
      <c r="C1073" s="4">
        <v>14</v>
      </c>
      <c r="D1073" s="8">
        <v>3.33</v>
      </c>
      <c r="E1073" s="4">
        <v>14</v>
      </c>
      <c r="F1073" s="8">
        <v>4.91</v>
      </c>
      <c r="G1073" s="4">
        <v>0</v>
      </c>
      <c r="H1073" s="8">
        <v>0</v>
      </c>
      <c r="I1073" s="4">
        <v>0</v>
      </c>
    </row>
    <row r="1074" spans="1:9" x14ac:dyDescent="0.15">
      <c r="A1074" s="2">
        <v>8</v>
      </c>
      <c r="B1074" s="1" t="s">
        <v>134</v>
      </c>
      <c r="C1074" s="4">
        <v>11</v>
      </c>
      <c r="D1074" s="8">
        <v>2.62</v>
      </c>
      <c r="E1074" s="4">
        <v>11</v>
      </c>
      <c r="F1074" s="8">
        <v>3.86</v>
      </c>
      <c r="G1074" s="4">
        <v>0</v>
      </c>
      <c r="H1074" s="8">
        <v>0</v>
      </c>
      <c r="I1074" s="4">
        <v>0</v>
      </c>
    </row>
    <row r="1075" spans="1:9" x14ac:dyDescent="0.15">
      <c r="A1075" s="2">
        <v>8</v>
      </c>
      <c r="B1075" s="1" t="s">
        <v>142</v>
      </c>
      <c r="C1075" s="4">
        <v>11</v>
      </c>
      <c r="D1075" s="8">
        <v>2.62</v>
      </c>
      <c r="E1075" s="4">
        <v>10</v>
      </c>
      <c r="F1075" s="8">
        <v>3.51</v>
      </c>
      <c r="G1075" s="4">
        <v>1</v>
      </c>
      <c r="H1075" s="8">
        <v>0.75</v>
      </c>
      <c r="I1075" s="4">
        <v>0</v>
      </c>
    </row>
    <row r="1076" spans="1:9" x14ac:dyDescent="0.15">
      <c r="A1076" s="2">
        <v>8</v>
      </c>
      <c r="B1076" s="1" t="s">
        <v>143</v>
      </c>
      <c r="C1076" s="4">
        <v>11</v>
      </c>
      <c r="D1076" s="8">
        <v>2.62</v>
      </c>
      <c r="E1076" s="4">
        <v>11</v>
      </c>
      <c r="F1076" s="8">
        <v>3.86</v>
      </c>
      <c r="G1076" s="4">
        <v>0</v>
      </c>
      <c r="H1076" s="8">
        <v>0</v>
      </c>
      <c r="I1076" s="4">
        <v>0</v>
      </c>
    </row>
    <row r="1077" spans="1:9" x14ac:dyDescent="0.15">
      <c r="A1077" s="2">
        <v>11</v>
      </c>
      <c r="B1077" s="1" t="s">
        <v>139</v>
      </c>
      <c r="C1077" s="4">
        <v>10</v>
      </c>
      <c r="D1077" s="8">
        <v>2.38</v>
      </c>
      <c r="E1077" s="4">
        <v>4</v>
      </c>
      <c r="F1077" s="8">
        <v>1.4</v>
      </c>
      <c r="G1077" s="4">
        <v>6</v>
      </c>
      <c r="H1077" s="8">
        <v>4.4800000000000004</v>
      </c>
      <c r="I1077" s="4">
        <v>0</v>
      </c>
    </row>
    <row r="1078" spans="1:9" x14ac:dyDescent="0.15">
      <c r="A1078" s="2">
        <v>11</v>
      </c>
      <c r="B1078" s="1" t="s">
        <v>144</v>
      </c>
      <c r="C1078" s="4">
        <v>10</v>
      </c>
      <c r="D1078" s="8">
        <v>2.38</v>
      </c>
      <c r="E1078" s="4">
        <v>10</v>
      </c>
      <c r="F1078" s="8">
        <v>3.51</v>
      </c>
      <c r="G1078" s="4">
        <v>0</v>
      </c>
      <c r="H1078" s="8">
        <v>0</v>
      </c>
      <c r="I1078" s="4">
        <v>0</v>
      </c>
    </row>
    <row r="1079" spans="1:9" x14ac:dyDescent="0.15">
      <c r="A1079" s="2">
        <v>13</v>
      </c>
      <c r="B1079" s="1" t="s">
        <v>126</v>
      </c>
      <c r="C1079" s="4">
        <v>8</v>
      </c>
      <c r="D1079" s="8">
        <v>1.9</v>
      </c>
      <c r="E1079" s="4">
        <v>4</v>
      </c>
      <c r="F1079" s="8">
        <v>1.4</v>
      </c>
      <c r="G1079" s="4">
        <v>4</v>
      </c>
      <c r="H1079" s="8">
        <v>2.99</v>
      </c>
      <c r="I1079" s="4">
        <v>0</v>
      </c>
    </row>
    <row r="1080" spans="1:9" x14ac:dyDescent="0.15">
      <c r="A1080" s="2">
        <v>13</v>
      </c>
      <c r="B1080" s="1" t="s">
        <v>167</v>
      </c>
      <c r="C1080" s="4">
        <v>8</v>
      </c>
      <c r="D1080" s="8">
        <v>1.9</v>
      </c>
      <c r="E1080" s="4">
        <v>6</v>
      </c>
      <c r="F1080" s="8">
        <v>2.11</v>
      </c>
      <c r="G1080" s="4">
        <v>2</v>
      </c>
      <c r="H1080" s="8">
        <v>1.49</v>
      </c>
      <c r="I1080" s="4">
        <v>0</v>
      </c>
    </row>
    <row r="1081" spans="1:9" x14ac:dyDescent="0.15">
      <c r="A1081" s="2">
        <v>13</v>
      </c>
      <c r="B1081" s="1" t="s">
        <v>155</v>
      </c>
      <c r="C1081" s="4">
        <v>8</v>
      </c>
      <c r="D1081" s="8">
        <v>1.9</v>
      </c>
      <c r="E1081" s="4">
        <v>7</v>
      </c>
      <c r="F1081" s="8">
        <v>2.46</v>
      </c>
      <c r="G1081" s="4">
        <v>1</v>
      </c>
      <c r="H1081" s="8">
        <v>0.75</v>
      </c>
      <c r="I1081" s="4">
        <v>0</v>
      </c>
    </row>
    <row r="1082" spans="1:9" x14ac:dyDescent="0.15">
      <c r="A1082" s="2">
        <v>13</v>
      </c>
      <c r="B1082" s="1" t="s">
        <v>129</v>
      </c>
      <c r="C1082" s="4">
        <v>8</v>
      </c>
      <c r="D1082" s="8">
        <v>1.9</v>
      </c>
      <c r="E1082" s="4">
        <v>6</v>
      </c>
      <c r="F1082" s="8">
        <v>2.11</v>
      </c>
      <c r="G1082" s="4">
        <v>2</v>
      </c>
      <c r="H1082" s="8">
        <v>1.49</v>
      </c>
      <c r="I1082" s="4">
        <v>0</v>
      </c>
    </row>
    <row r="1083" spans="1:9" x14ac:dyDescent="0.15">
      <c r="A1083" s="2">
        <v>17</v>
      </c>
      <c r="B1083" s="1" t="s">
        <v>160</v>
      </c>
      <c r="C1083" s="4">
        <v>6</v>
      </c>
      <c r="D1083" s="8">
        <v>1.43</v>
      </c>
      <c r="E1083" s="4">
        <v>4</v>
      </c>
      <c r="F1083" s="8">
        <v>1.4</v>
      </c>
      <c r="G1083" s="4">
        <v>2</v>
      </c>
      <c r="H1083" s="8">
        <v>1.49</v>
      </c>
      <c r="I1083" s="4">
        <v>0</v>
      </c>
    </row>
    <row r="1084" spans="1:9" x14ac:dyDescent="0.15">
      <c r="A1084" s="2">
        <v>17</v>
      </c>
      <c r="B1084" s="1" t="s">
        <v>130</v>
      </c>
      <c r="C1084" s="4">
        <v>6</v>
      </c>
      <c r="D1084" s="8">
        <v>1.43</v>
      </c>
      <c r="E1084" s="4">
        <v>5</v>
      </c>
      <c r="F1084" s="8">
        <v>1.75</v>
      </c>
      <c r="G1084" s="4">
        <v>1</v>
      </c>
      <c r="H1084" s="8">
        <v>0.75</v>
      </c>
      <c r="I1084" s="4">
        <v>0</v>
      </c>
    </row>
    <row r="1085" spans="1:9" x14ac:dyDescent="0.15">
      <c r="A1085" s="2">
        <v>17</v>
      </c>
      <c r="B1085" s="1" t="s">
        <v>151</v>
      </c>
      <c r="C1085" s="4">
        <v>6</v>
      </c>
      <c r="D1085" s="8">
        <v>1.43</v>
      </c>
      <c r="E1085" s="4">
        <v>6</v>
      </c>
      <c r="F1085" s="8">
        <v>2.11</v>
      </c>
      <c r="G1085" s="4">
        <v>0</v>
      </c>
      <c r="H1085" s="8">
        <v>0</v>
      </c>
      <c r="I1085" s="4">
        <v>0</v>
      </c>
    </row>
    <row r="1086" spans="1:9" x14ac:dyDescent="0.15">
      <c r="A1086" s="2">
        <v>17</v>
      </c>
      <c r="B1086" s="1" t="s">
        <v>207</v>
      </c>
      <c r="C1086" s="4">
        <v>6</v>
      </c>
      <c r="D1086" s="8">
        <v>1.43</v>
      </c>
      <c r="E1086" s="4">
        <v>6</v>
      </c>
      <c r="F1086" s="8">
        <v>2.11</v>
      </c>
      <c r="G1086" s="4">
        <v>0</v>
      </c>
      <c r="H1086" s="8">
        <v>0</v>
      </c>
      <c r="I1086" s="4">
        <v>0</v>
      </c>
    </row>
    <row r="1087" spans="1:9" x14ac:dyDescent="0.15">
      <c r="A1087" s="1"/>
      <c r="C1087" s="4"/>
      <c r="D1087" s="8"/>
      <c r="E1087" s="4"/>
      <c r="F1087" s="8"/>
      <c r="G1087" s="4"/>
      <c r="H1087" s="8"/>
      <c r="I1087" s="4"/>
    </row>
    <row r="1088" spans="1:9" x14ac:dyDescent="0.15">
      <c r="A1088" s="1" t="s">
        <v>48</v>
      </c>
      <c r="C1088" s="4"/>
      <c r="D1088" s="8"/>
      <c r="E1088" s="4"/>
      <c r="F1088" s="8"/>
      <c r="G1088" s="4"/>
      <c r="H1088" s="8"/>
      <c r="I1088" s="4"/>
    </row>
    <row r="1089" spans="1:9" x14ac:dyDescent="0.15">
      <c r="A1089" s="2">
        <v>1</v>
      </c>
      <c r="B1089" s="1" t="s">
        <v>125</v>
      </c>
      <c r="C1089" s="4">
        <v>39</v>
      </c>
      <c r="D1089" s="8">
        <v>6.59</v>
      </c>
      <c r="E1089" s="4">
        <v>12</v>
      </c>
      <c r="F1089" s="8">
        <v>2.72</v>
      </c>
      <c r="G1089" s="4">
        <v>27</v>
      </c>
      <c r="H1089" s="8">
        <v>18</v>
      </c>
      <c r="I1089" s="4">
        <v>0</v>
      </c>
    </row>
    <row r="1090" spans="1:9" x14ac:dyDescent="0.15">
      <c r="A1090" s="2">
        <v>2</v>
      </c>
      <c r="B1090" s="1" t="s">
        <v>141</v>
      </c>
      <c r="C1090" s="4">
        <v>31</v>
      </c>
      <c r="D1090" s="8">
        <v>5.24</v>
      </c>
      <c r="E1090" s="4">
        <v>31</v>
      </c>
      <c r="F1090" s="8">
        <v>7.03</v>
      </c>
      <c r="G1090" s="4">
        <v>0</v>
      </c>
      <c r="H1090" s="8">
        <v>0</v>
      </c>
      <c r="I1090" s="4">
        <v>0</v>
      </c>
    </row>
    <row r="1091" spans="1:9" x14ac:dyDescent="0.15">
      <c r="A1091" s="2">
        <v>3</v>
      </c>
      <c r="B1091" s="1" t="s">
        <v>140</v>
      </c>
      <c r="C1091" s="4">
        <v>23</v>
      </c>
      <c r="D1091" s="8">
        <v>3.89</v>
      </c>
      <c r="E1091" s="4">
        <v>23</v>
      </c>
      <c r="F1091" s="8">
        <v>5.22</v>
      </c>
      <c r="G1091" s="4">
        <v>0</v>
      </c>
      <c r="H1091" s="8">
        <v>0</v>
      </c>
      <c r="I1091" s="4">
        <v>0</v>
      </c>
    </row>
    <row r="1092" spans="1:9" x14ac:dyDescent="0.15">
      <c r="A1092" s="2">
        <v>4</v>
      </c>
      <c r="B1092" s="1" t="s">
        <v>167</v>
      </c>
      <c r="C1092" s="4">
        <v>20</v>
      </c>
      <c r="D1092" s="8">
        <v>3.38</v>
      </c>
      <c r="E1092" s="4">
        <v>17</v>
      </c>
      <c r="F1092" s="8">
        <v>3.85</v>
      </c>
      <c r="G1092" s="4">
        <v>3</v>
      </c>
      <c r="H1092" s="8">
        <v>2</v>
      </c>
      <c r="I1092" s="4">
        <v>0</v>
      </c>
    </row>
    <row r="1093" spans="1:9" x14ac:dyDescent="0.15">
      <c r="A1093" s="2">
        <v>5</v>
      </c>
      <c r="B1093" s="1" t="s">
        <v>138</v>
      </c>
      <c r="C1093" s="4">
        <v>16</v>
      </c>
      <c r="D1093" s="8">
        <v>2.7</v>
      </c>
      <c r="E1093" s="4">
        <v>16</v>
      </c>
      <c r="F1093" s="8">
        <v>3.63</v>
      </c>
      <c r="G1093" s="4">
        <v>0</v>
      </c>
      <c r="H1093" s="8">
        <v>0</v>
      </c>
      <c r="I1093" s="4">
        <v>0</v>
      </c>
    </row>
    <row r="1094" spans="1:9" x14ac:dyDescent="0.15">
      <c r="A1094" s="2">
        <v>6</v>
      </c>
      <c r="B1094" s="1" t="s">
        <v>127</v>
      </c>
      <c r="C1094" s="4">
        <v>15</v>
      </c>
      <c r="D1094" s="8">
        <v>2.5299999999999998</v>
      </c>
      <c r="E1094" s="4">
        <v>13</v>
      </c>
      <c r="F1094" s="8">
        <v>2.95</v>
      </c>
      <c r="G1094" s="4">
        <v>2</v>
      </c>
      <c r="H1094" s="8">
        <v>1.33</v>
      </c>
      <c r="I1094" s="4">
        <v>0</v>
      </c>
    </row>
    <row r="1095" spans="1:9" x14ac:dyDescent="0.15">
      <c r="A1095" s="2">
        <v>6</v>
      </c>
      <c r="B1095" s="1" t="s">
        <v>130</v>
      </c>
      <c r="C1095" s="4">
        <v>15</v>
      </c>
      <c r="D1095" s="8">
        <v>2.5299999999999998</v>
      </c>
      <c r="E1095" s="4">
        <v>13</v>
      </c>
      <c r="F1095" s="8">
        <v>2.95</v>
      </c>
      <c r="G1095" s="4">
        <v>2</v>
      </c>
      <c r="H1095" s="8">
        <v>1.33</v>
      </c>
      <c r="I1095" s="4">
        <v>0</v>
      </c>
    </row>
    <row r="1096" spans="1:9" x14ac:dyDescent="0.15">
      <c r="A1096" s="2">
        <v>8</v>
      </c>
      <c r="B1096" s="1" t="s">
        <v>132</v>
      </c>
      <c r="C1096" s="4">
        <v>13</v>
      </c>
      <c r="D1096" s="8">
        <v>2.2000000000000002</v>
      </c>
      <c r="E1096" s="4">
        <v>12</v>
      </c>
      <c r="F1096" s="8">
        <v>2.72</v>
      </c>
      <c r="G1096" s="4">
        <v>1</v>
      </c>
      <c r="H1096" s="8">
        <v>0.67</v>
      </c>
      <c r="I1096" s="4">
        <v>0</v>
      </c>
    </row>
    <row r="1097" spans="1:9" x14ac:dyDescent="0.15">
      <c r="A1097" s="2">
        <v>8</v>
      </c>
      <c r="B1097" s="1" t="s">
        <v>166</v>
      </c>
      <c r="C1097" s="4">
        <v>13</v>
      </c>
      <c r="D1097" s="8">
        <v>2.2000000000000002</v>
      </c>
      <c r="E1097" s="4">
        <v>11</v>
      </c>
      <c r="F1097" s="8">
        <v>2.4900000000000002</v>
      </c>
      <c r="G1097" s="4">
        <v>2</v>
      </c>
      <c r="H1097" s="8">
        <v>1.33</v>
      </c>
      <c r="I1097" s="4">
        <v>0</v>
      </c>
    </row>
    <row r="1098" spans="1:9" x14ac:dyDescent="0.15">
      <c r="A1098" s="2">
        <v>10</v>
      </c>
      <c r="B1098" s="1" t="s">
        <v>192</v>
      </c>
      <c r="C1098" s="4">
        <v>12</v>
      </c>
      <c r="D1098" s="8">
        <v>2.0299999999999998</v>
      </c>
      <c r="E1098" s="4">
        <v>5</v>
      </c>
      <c r="F1098" s="8">
        <v>1.1299999999999999</v>
      </c>
      <c r="G1098" s="4">
        <v>6</v>
      </c>
      <c r="H1098" s="8">
        <v>4</v>
      </c>
      <c r="I1098" s="4">
        <v>1</v>
      </c>
    </row>
    <row r="1099" spans="1:9" x14ac:dyDescent="0.15">
      <c r="A1099" s="2">
        <v>11</v>
      </c>
      <c r="B1099" s="1" t="s">
        <v>155</v>
      </c>
      <c r="C1099" s="4">
        <v>11</v>
      </c>
      <c r="D1099" s="8">
        <v>1.86</v>
      </c>
      <c r="E1099" s="4">
        <v>10</v>
      </c>
      <c r="F1099" s="8">
        <v>2.27</v>
      </c>
      <c r="G1099" s="4">
        <v>1</v>
      </c>
      <c r="H1099" s="8">
        <v>0.67</v>
      </c>
      <c r="I1099" s="4">
        <v>0</v>
      </c>
    </row>
    <row r="1100" spans="1:9" x14ac:dyDescent="0.15">
      <c r="A1100" s="2">
        <v>11</v>
      </c>
      <c r="B1100" s="1" t="s">
        <v>202</v>
      </c>
      <c r="C1100" s="4">
        <v>11</v>
      </c>
      <c r="D1100" s="8">
        <v>1.86</v>
      </c>
      <c r="E1100" s="4">
        <v>9</v>
      </c>
      <c r="F1100" s="8">
        <v>2.04</v>
      </c>
      <c r="G1100" s="4">
        <v>2</v>
      </c>
      <c r="H1100" s="8">
        <v>1.33</v>
      </c>
      <c r="I1100" s="4">
        <v>0</v>
      </c>
    </row>
    <row r="1101" spans="1:9" x14ac:dyDescent="0.15">
      <c r="A1101" s="2">
        <v>11</v>
      </c>
      <c r="B1101" s="1" t="s">
        <v>135</v>
      </c>
      <c r="C1101" s="4">
        <v>11</v>
      </c>
      <c r="D1101" s="8">
        <v>1.86</v>
      </c>
      <c r="E1101" s="4">
        <v>11</v>
      </c>
      <c r="F1101" s="8">
        <v>2.4900000000000002</v>
      </c>
      <c r="G1101" s="4">
        <v>0</v>
      </c>
      <c r="H1101" s="8">
        <v>0</v>
      </c>
      <c r="I1101" s="4">
        <v>0</v>
      </c>
    </row>
    <row r="1102" spans="1:9" x14ac:dyDescent="0.15">
      <c r="A1102" s="2">
        <v>14</v>
      </c>
      <c r="B1102" s="1" t="s">
        <v>126</v>
      </c>
      <c r="C1102" s="4">
        <v>10</v>
      </c>
      <c r="D1102" s="8">
        <v>1.69</v>
      </c>
      <c r="E1102" s="4">
        <v>6</v>
      </c>
      <c r="F1102" s="8">
        <v>1.36</v>
      </c>
      <c r="G1102" s="4">
        <v>4</v>
      </c>
      <c r="H1102" s="8">
        <v>2.67</v>
      </c>
      <c r="I1102" s="4">
        <v>0</v>
      </c>
    </row>
    <row r="1103" spans="1:9" x14ac:dyDescent="0.15">
      <c r="A1103" s="2">
        <v>14</v>
      </c>
      <c r="B1103" s="1" t="s">
        <v>168</v>
      </c>
      <c r="C1103" s="4">
        <v>10</v>
      </c>
      <c r="D1103" s="8">
        <v>1.69</v>
      </c>
      <c r="E1103" s="4">
        <v>9</v>
      </c>
      <c r="F1103" s="8">
        <v>2.04</v>
      </c>
      <c r="G1103" s="4">
        <v>1</v>
      </c>
      <c r="H1103" s="8">
        <v>0.67</v>
      </c>
      <c r="I1103" s="4">
        <v>0</v>
      </c>
    </row>
    <row r="1104" spans="1:9" x14ac:dyDescent="0.15">
      <c r="A1104" s="2">
        <v>14</v>
      </c>
      <c r="B1104" s="1" t="s">
        <v>160</v>
      </c>
      <c r="C1104" s="4">
        <v>10</v>
      </c>
      <c r="D1104" s="8">
        <v>1.69</v>
      </c>
      <c r="E1104" s="4">
        <v>6</v>
      </c>
      <c r="F1104" s="8">
        <v>1.36</v>
      </c>
      <c r="G1104" s="4">
        <v>4</v>
      </c>
      <c r="H1104" s="8">
        <v>2.67</v>
      </c>
      <c r="I1104" s="4">
        <v>0</v>
      </c>
    </row>
    <row r="1105" spans="1:9" x14ac:dyDescent="0.15">
      <c r="A1105" s="2">
        <v>17</v>
      </c>
      <c r="B1105" s="1" t="s">
        <v>129</v>
      </c>
      <c r="C1105" s="4">
        <v>9</v>
      </c>
      <c r="D1105" s="8">
        <v>1.52</v>
      </c>
      <c r="E1105" s="4">
        <v>9</v>
      </c>
      <c r="F1105" s="8">
        <v>2.04</v>
      </c>
      <c r="G1105" s="4">
        <v>0</v>
      </c>
      <c r="H1105" s="8">
        <v>0</v>
      </c>
      <c r="I1105" s="4">
        <v>0</v>
      </c>
    </row>
    <row r="1106" spans="1:9" x14ac:dyDescent="0.15">
      <c r="A1106" s="2">
        <v>17</v>
      </c>
      <c r="B1106" s="1" t="s">
        <v>159</v>
      </c>
      <c r="C1106" s="4">
        <v>9</v>
      </c>
      <c r="D1106" s="8">
        <v>1.52</v>
      </c>
      <c r="E1106" s="4">
        <v>8</v>
      </c>
      <c r="F1106" s="8">
        <v>1.81</v>
      </c>
      <c r="G1106" s="4">
        <v>1</v>
      </c>
      <c r="H1106" s="8">
        <v>0.67</v>
      </c>
      <c r="I1106" s="4">
        <v>0</v>
      </c>
    </row>
    <row r="1107" spans="1:9" x14ac:dyDescent="0.15">
      <c r="A1107" s="2">
        <v>17</v>
      </c>
      <c r="B1107" s="1" t="s">
        <v>150</v>
      </c>
      <c r="C1107" s="4">
        <v>9</v>
      </c>
      <c r="D1107" s="8">
        <v>1.52</v>
      </c>
      <c r="E1107" s="4">
        <v>5</v>
      </c>
      <c r="F1107" s="8">
        <v>1.1299999999999999</v>
      </c>
      <c r="G1107" s="4">
        <v>4</v>
      </c>
      <c r="H1107" s="8">
        <v>2.67</v>
      </c>
      <c r="I1107" s="4">
        <v>0</v>
      </c>
    </row>
    <row r="1108" spans="1:9" x14ac:dyDescent="0.15">
      <c r="A1108" s="2">
        <v>17</v>
      </c>
      <c r="B1108" s="1" t="s">
        <v>171</v>
      </c>
      <c r="C1108" s="4">
        <v>9</v>
      </c>
      <c r="D1108" s="8">
        <v>1.52</v>
      </c>
      <c r="E1108" s="4">
        <v>9</v>
      </c>
      <c r="F1108" s="8">
        <v>2.04</v>
      </c>
      <c r="G1108" s="4">
        <v>0</v>
      </c>
      <c r="H1108" s="8">
        <v>0</v>
      </c>
      <c r="I1108" s="4">
        <v>0</v>
      </c>
    </row>
    <row r="1109" spans="1:9" x14ac:dyDescent="0.15">
      <c r="A1109" s="2">
        <v>17</v>
      </c>
      <c r="B1109" s="1" t="s">
        <v>143</v>
      </c>
      <c r="C1109" s="4">
        <v>9</v>
      </c>
      <c r="D1109" s="8">
        <v>1.52</v>
      </c>
      <c r="E1109" s="4">
        <v>7</v>
      </c>
      <c r="F1109" s="8">
        <v>1.59</v>
      </c>
      <c r="G1109" s="4">
        <v>2</v>
      </c>
      <c r="H1109" s="8">
        <v>1.33</v>
      </c>
      <c r="I1109" s="4">
        <v>0</v>
      </c>
    </row>
    <row r="1110" spans="1:9" x14ac:dyDescent="0.15">
      <c r="A1110" s="1"/>
      <c r="C1110" s="4"/>
      <c r="D1110" s="8"/>
      <c r="E1110" s="4"/>
      <c r="F1110" s="8"/>
      <c r="G1110" s="4"/>
      <c r="H1110" s="8"/>
      <c r="I1110" s="4"/>
    </row>
    <row r="1111" spans="1:9" x14ac:dyDescent="0.15">
      <c r="A1111" s="1" t="s">
        <v>49</v>
      </c>
      <c r="C1111" s="4"/>
      <c r="D1111" s="8"/>
      <c r="E1111" s="4"/>
      <c r="F1111" s="8"/>
      <c r="G1111" s="4"/>
      <c r="H1111" s="8"/>
      <c r="I1111" s="4"/>
    </row>
    <row r="1112" spans="1:9" x14ac:dyDescent="0.15">
      <c r="A1112" s="2">
        <v>1</v>
      </c>
      <c r="B1112" s="1" t="s">
        <v>170</v>
      </c>
      <c r="C1112" s="4">
        <v>96</v>
      </c>
      <c r="D1112" s="8">
        <v>12.15</v>
      </c>
      <c r="E1112" s="4">
        <v>92</v>
      </c>
      <c r="F1112" s="8">
        <v>14.77</v>
      </c>
      <c r="G1112" s="4">
        <v>4</v>
      </c>
      <c r="H1112" s="8">
        <v>2.4700000000000002</v>
      </c>
      <c r="I1112" s="4">
        <v>0</v>
      </c>
    </row>
    <row r="1113" spans="1:9" x14ac:dyDescent="0.15">
      <c r="A1113" s="2">
        <v>2</v>
      </c>
      <c r="B1113" s="1" t="s">
        <v>197</v>
      </c>
      <c r="C1113" s="4">
        <v>52</v>
      </c>
      <c r="D1113" s="8">
        <v>6.58</v>
      </c>
      <c r="E1113" s="4">
        <v>20</v>
      </c>
      <c r="F1113" s="8">
        <v>3.21</v>
      </c>
      <c r="G1113" s="4">
        <v>32</v>
      </c>
      <c r="H1113" s="8">
        <v>19.75</v>
      </c>
      <c r="I1113" s="4">
        <v>0</v>
      </c>
    </row>
    <row r="1114" spans="1:9" x14ac:dyDescent="0.15">
      <c r="A1114" s="2">
        <v>3</v>
      </c>
      <c r="B1114" s="1" t="s">
        <v>141</v>
      </c>
      <c r="C1114" s="4">
        <v>33</v>
      </c>
      <c r="D1114" s="8">
        <v>4.18</v>
      </c>
      <c r="E1114" s="4">
        <v>33</v>
      </c>
      <c r="F1114" s="8">
        <v>5.3</v>
      </c>
      <c r="G1114" s="4">
        <v>0</v>
      </c>
      <c r="H1114" s="8">
        <v>0</v>
      </c>
      <c r="I1114" s="4">
        <v>0</v>
      </c>
    </row>
    <row r="1115" spans="1:9" x14ac:dyDescent="0.15">
      <c r="A1115" s="2">
        <v>4</v>
      </c>
      <c r="B1115" s="1" t="s">
        <v>167</v>
      </c>
      <c r="C1115" s="4">
        <v>32</v>
      </c>
      <c r="D1115" s="8">
        <v>4.05</v>
      </c>
      <c r="E1115" s="4">
        <v>30</v>
      </c>
      <c r="F1115" s="8">
        <v>4.82</v>
      </c>
      <c r="G1115" s="4">
        <v>2</v>
      </c>
      <c r="H1115" s="8">
        <v>1.23</v>
      </c>
      <c r="I1115" s="4">
        <v>0</v>
      </c>
    </row>
    <row r="1116" spans="1:9" x14ac:dyDescent="0.15">
      <c r="A1116" s="2">
        <v>5</v>
      </c>
      <c r="B1116" s="1" t="s">
        <v>140</v>
      </c>
      <c r="C1116" s="4">
        <v>24</v>
      </c>
      <c r="D1116" s="8">
        <v>3.04</v>
      </c>
      <c r="E1116" s="4">
        <v>24</v>
      </c>
      <c r="F1116" s="8">
        <v>3.85</v>
      </c>
      <c r="G1116" s="4">
        <v>0</v>
      </c>
      <c r="H1116" s="8">
        <v>0</v>
      </c>
      <c r="I1116" s="4">
        <v>0</v>
      </c>
    </row>
    <row r="1117" spans="1:9" x14ac:dyDescent="0.15">
      <c r="A1117" s="2">
        <v>6</v>
      </c>
      <c r="B1117" s="1" t="s">
        <v>199</v>
      </c>
      <c r="C1117" s="4">
        <v>23</v>
      </c>
      <c r="D1117" s="8">
        <v>2.91</v>
      </c>
      <c r="E1117" s="4">
        <v>11</v>
      </c>
      <c r="F1117" s="8">
        <v>1.77</v>
      </c>
      <c r="G1117" s="4">
        <v>12</v>
      </c>
      <c r="H1117" s="8">
        <v>7.41</v>
      </c>
      <c r="I1117" s="4">
        <v>0</v>
      </c>
    </row>
    <row r="1118" spans="1:9" x14ac:dyDescent="0.15">
      <c r="A1118" s="2">
        <v>7</v>
      </c>
      <c r="B1118" s="1" t="s">
        <v>155</v>
      </c>
      <c r="C1118" s="4">
        <v>20</v>
      </c>
      <c r="D1118" s="8">
        <v>2.5299999999999998</v>
      </c>
      <c r="E1118" s="4">
        <v>20</v>
      </c>
      <c r="F1118" s="8">
        <v>3.21</v>
      </c>
      <c r="G1118" s="4">
        <v>0</v>
      </c>
      <c r="H1118" s="8">
        <v>0</v>
      </c>
      <c r="I1118" s="4">
        <v>0</v>
      </c>
    </row>
    <row r="1119" spans="1:9" x14ac:dyDescent="0.15">
      <c r="A1119" s="2">
        <v>8</v>
      </c>
      <c r="B1119" s="1" t="s">
        <v>143</v>
      </c>
      <c r="C1119" s="4">
        <v>19</v>
      </c>
      <c r="D1119" s="8">
        <v>2.41</v>
      </c>
      <c r="E1119" s="4">
        <v>19</v>
      </c>
      <c r="F1119" s="8">
        <v>3.05</v>
      </c>
      <c r="G1119" s="4">
        <v>0</v>
      </c>
      <c r="H1119" s="8">
        <v>0</v>
      </c>
      <c r="I1119" s="4">
        <v>0</v>
      </c>
    </row>
    <row r="1120" spans="1:9" x14ac:dyDescent="0.15">
      <c r="A1120" s="2">
        <v>9</v>
      </c>
      <c r="B1120" s="1" t="s">
        <v>132</v>
      </c>
      <c r="C1120" s="4">
        <v>18</v>
      </c>
      <c r="D1120" s="8">
        <v>2.2799999999999998</v>
      </c>
      <c r="E1120" s="4">
        <v>17</v>
      </c>
      <c r="F1120" s="8">
        <v>2.73</v>
      </c>
      <c r="G1120" s="4">
        <v>1</v>
      </c>
      <c r="H1120" s="8">
        <v>0.62</v>
      </c>
      <c r="I1120" s="4">
        <v>0</v>
      </c>
    </row>
    <row r="1121" spans="1:9" x14ac:dyDescent="0.15">
      <c r="A1121" s="2">
        <v>10</v>
      </c>
      <c r="B1121" s="1" t="s">
        <v>125</v>
      </c>
      <c r="C1121" s="4">
        <v>17</v>
      </c>
      <c r="D1121" s="8">
        <v>2.15</v>
      </c>
      <c r="E1121" s="4">
        <v>6</v>
      </c>
      <c r="F1121" s="8">
        <v>0.96</v>
      </c>
      <c r="G1121" s="4">
        <v>11</v>
      </c>
      <c r="H1121" s="8">
        <v>6.79</v>
      </c>
      <c r="I1121" s="4">
        <v>0</v>
      </c>
    </row>
    <row r="1122" spans="1:9" x14ac:dyDescent="0.15">
      <c r="A1122" s="2">
        <v>10</v>
      </c>
      <c r="B1122" s="1" t="s">
        <v>172</v>
      </c>
      <c r="C1122" s="4">
        <v>17</v>
      </c>
      <c r="D1122" s="8">
        <v>2.15</v>
      </c>
      <c r="E1122" s="4">
        <v>6</v>
      </c>
      <c r="F1122" s="8">
        <v>0.96</v>
      </c>
      <c r="G1122" s="4">
        <v>11</v>
      </c>
      <c r="H1122" s="8">
        <v>6.79</v>
      </c>
      <c r="I1122" s="4">
        <v>0</v>
      </c>
    </row>
    <row r="1123" spans="1:9" x14ac:dyDescent="0.15">
      <c r="A1123" s="2">
        <v>12</v>
      </c>
      <c r="B1123" s="1" t="s">
        <v>129</v>
      </c>
      <c r="C1123" s="4">
        <v>16</v>
      </c>
      <c r="D1123" s="8">
        <v>2.0299999999999998</v>
      </c>
      <c r="E1123" s="4">
        <v>13</v>
      </c>
      <c r="F1123" s="8">
        <v>2.09</v>
      </c>
      <c r="G1123" s="4">
        <v>3</v>
      </c>
      <c r="H1123" s="8">
        <v>1.85</v>
      </c>
      <c r="I1123" s="4">
        <v>0</v>
      </c>
    </row>
    <row r="1124" spans="1:9" x14ac:dyDescent="0.15">
      <c r="A1124" s="2">
        <v>13</v>
      </c>
      <c r="B1124" s="1" t="s">
        <v>127</v>
      </c>
      <c r="C1124" s="4">
        <v>15</v>
      </c>
      <c r="D1124" s="8">
        <v>1.9</v>
      </c>
      <c r="E1124" s="4">
        <v>14</v>
      </c>
      <c r="F1124" s="8">
        <v>2.25</v>
      </c>
      <c r="G1124" s="4">
        <v>1</v>
      </c>
      <c r="H1124" s="8">
        <v>0.62</v>
      </c>
      <c r="I1124" s="4">
        <v>0</v>
      </c>
    </row>
    <row r="1125" spans="1:9" x14ac:dyDescent="0.15">
      <c r="A1125" s="2">
        <v>13</v>
      </c>
      <c r="B1125" s="1" t="s">
        <v>171</v>
      </c>
      <c r="C1125" s="4">
        <v>15</v>
      </c>
      <c r="D1125" s="8">
        <v>1.9</v>
      </c>
      <c r="E1125" s="4">
        <v>15</v>
      </c>
      <c r="F1125" s="8">
        <v>2.41</v>
      </c>
      <c r="G1125" s="4">
        <v>0</v>
      </c>
      <c r="H1125" s="8">
        <v>0</v>
      </c>
      <c r="I1125" s="4">
        <v>0</v>
      </c>
    </row>
    <row r="1126" spans="1:9" x14ac:dyDescent="0.15">
      <c r="A1126" s="2">
        <v>15</v>
      </c>
      <c r="B1126" s="1" t="s">
        <v>126</v>
      </c>
      <c r="C1126" s="4">
        <v>13</v>
      </c>
      <c r="D1126" s="8">
        <v>1.65</v>
      </c>
      <c r="E1126" s="4">
        <v>9</v>
      </c>
      <c r="F1126" s="8">
        <v>1.44</v>
      </c>
      <c r="G1126" s="4">
        <v>4</v>
      </c>
      <c r="H1126" s="8">
        <v>2.4700000000000002</v>
      </c>
      <c r="I1126" s="4">
        <v>0</v>
      </c>
    </row>
    <row r="1127" spans="1:9" x14ac:dyDescent="0.15">
      <c r="A1127" s="2">
        <v>15</v>
      </c>
      <c r="B1127" s="1" t="s">
        <v>131</v>
      </c>
      <c r="C1127" s="4">
        <v>13</v>
      </c>
      <c r="D1127" s="8">
        <v>1.65</v>
      </c>
      <c r="E1127" s="4">
        <v>12</v>
      </c>
      <c r="F1127" s="8">
        <v>1.93</v>
      </c>
      <c r="G1127" s="4">
        <v>1</v>
      </c>
      <c r="H1127" s="8">
        <v>0.62</v>
      </c>
      <c r="I1127" s="4">
        <v>0</v>
      </c>
    </row>
    <row r="1128" spans="1:9" x14ac:dyDescent="0.15">
      <c r="A1128" s="2">
        <v>17</v>
      </c>
      <c r="B1128" s="1" t="s">
        <v>144</v>
      </c>
      <c r="C1128" s="4">
        <v>12</v>
      </c>
      <c r="D1128" s="8">
        <v>1.52</v>
      </c>
      <c r="E1128" s="4">
        <v>12</v>
      </c>
      <c r="F1128" s="8">
        <v>1.93</v>
      </c>
      <c r="G1128" s="4">
        <v>0</v>
      </c>
      <c r="H1128" s="8">
        <v>0</v>
      </c>
      <c r="I1128" s="4">
        <v>0</v>
      </c>
    </row>
    <row r="1129" spans="1:9" x14ac:dyDescent="0.15">
      <c r="A1129" s="2">
        <v>18</v>
      </c>
      <c r="B1129" s="1" t="s">
        <v>130</v>
      </c>
      <c r="C1129" s="4">
        <v>11</v>
      </c>
      <c r="D1129" s="8">
        <v>1.39</v>
      </c>
      <c r="E1129" s="4">
        <v>7</v>
      </c>
      <c r="F1129" s="8">
        <v>1.1200000000000001</v>
      </c>
      <c r="G1129" s="4">
        <v>4</v>
      </c>
      <c r="H1129" s="8">
        <v>2.4700000000000002</v>
      </c>
      <c r="I1129" s="4">
        <v>0</v>
      </c>
    </row>
    <row r="1130" spans="1:9" x14ac:dyDescent="0.15">
      <c r="A1130" s="2">
        <v>18</v>
      </c>
      <c r="B1130" s="1" t="s">
        <v>159</v>
      </c>
      <c r="C1130" s="4">
        <v>11</v>
      </c>
      <c r="D1130" s="8">
        <v>1.39</v>
      </c>
      <c r="E1130" s="4">
        <v>11</v>
      </c>
      <c r="F1130" s="8">
        <v>1.77</v>
      </c>
      <c r="G1130" s="4">
        <v>0</v>
      </c>
      <c r="H1130" s="8">
        <v>0</v>
      </c>
      <c r="I1130" s="4">
        <v>0</v>
      </c>
    </row>
    <row r="1131" spans="1:9" x14ac:dyDescent="0.15">
      <c r="A1131" s="2">
        <v>18</v>
      </c>
      <c r="B1131" s="1" t="s">
        <v>142</v>
      </c>
      <c r="C1131" s="4">
        <v>11</v>
      </c>
      <c r="D1131" s="8">
        <v>1.39</v>
      </c>
      <c r="E1131" s="4">
        <v>10</v>
      </c>
      <c r="F1131" s="8">
        <v>1.61</v>
      </c>
      <c r="G1131" s="4">
        <v>1</v>
      </c>
      <c r="H1131" s="8">
        <v>0.62</v>
      </c>
      <c r="I1131" s="4">
        <v>0</v>
      </c>
    </row>
    <row r="1132" spans="1:9" x14ac:dyDescent="0.15">
      <c r="A1132" s="1"/>
      <c r="C1132" s="4"/>
      <c r="D1132" s="8"/>
      <c r="E1132" s="4"/>
      <c r="F1132" s="8"/>
      <c r="G1132" s="4"/>
      <c r="H1132" s="8"/>
      <c r="I1132" s="4"/>
    </row>
    <row r="1133" spans="1:9" x14ac:dyDescent="0.15">
      <c r="A1133" s="1" t="s">
        <v>50</v>
      </c>
      <c r="C1133" s="4"/>
      <c r="D1133" s="8"/>
      <c r="E1133" s="4"/>
      <c r="F1133" s="8"/>
      <c r="G1133" s="4"/>
      <c r="H1133" s="8"/>
      <c r="I1133" s="4"/>
    </row>
    <row r="1134" spans="1:9" x14ac:dyDescent="0.15">
      <c r="A1134" s="2">
        <v>1</v>
      </c>
      <c r="B1134" s="1" t="s">
        <v>125</v>
      </c>
      <c r="C1134" s="4">
        <v>25</v>
      </c>
      <c r="D1134" s="8">
        <v>5.43</v>
      </c>
      <c r="E1134" s="4">
        <v>4</v>
      </c>
      <c r="F1134" s="8">
        <v>1.1599999999999999</v>
      </c>
      <c r="G1134" s="4">
        <v>21</v>
      </c>
      <c r="H1134" s="8">
        <v>18.579999999999998</v>
      </c>
      <c r="I1134" s="4">
        <v>0</v>
      </c>
    </row>
    <row r="1135" spans="1:9" x14ac:dyDescent="0.15">
      <c r="A1135" s="2">
        <v>2</v>
      </c>
      <c r="B1135" s="1" t="s">
        <v>141</v>
      </c>
      <c r="C1135" s="4">
        <v>23</v>
      </c>
      <c r="D1135" s="8">
        <v>5</v>
      </c>
      <c r="E1135" s="4">
        <v>23</v>
      </c>
      <c r="F1135" s="8">
        <v>6.69</v>
      </c>
      <c r="G1135" s="4">
        <v>0</v>
      </c>
      <c r="H1135" s="8">
        <v>0</v>
      </c>
      <c r="I1135" s="4">
        <v>0</v>
      </c>
    </row>
    <row r="1136" spans="1:9" x14ac:dyDescent="0.15">
      <c r="A1136" s="2">
        <v>3</v>
      </c>
      <c r="B1136" s="1" t="s">
        <v>140</v>
      </c>
      <c r="C1136" s="4">
        <v>21</v>
      </c>
      <c r="D1136" s="8">
        <v>4.57</v>
      </c>
      <c r="E1136" s="4">
        <v>21</v>
      </c>
      <c r="F1136" s="8">
        <v>6.1</v>
      </c>
      <c r="G1136" s="4">
        <v>0</v>
      </c>
      <c r="H1136" s="8">
        <v>0</v>
      </c>
      <c r="I1136" s="4">
        <v>0</v>
      </c>
    </row>
    <row r="1137" spans="1:9" x14ac:dyDescent="0.15">
      <c r="A1137" s="2">
        <v>4</v>
      </c>
      <c r="B1137" s="1" t="s">
        <v>170</v>
      </c>
      <c r="C1137" s="4">
        <v>20</v>
      </c>
      <c r="D1137" s="8">
        <v>4.3499999999999996</v>
      </c>
      <c r="E1137" s="4">
        <v>17</v>
      </c>
      <c r="F1137" s="8">
        <v>4.9400000000000004</v>
      </c>
      <c r="G1137" s="4">
        <v>3</v>
      </c>
      <c r="H1137" s="8">
        <v>2.65</v>
      </c>
      <c r="I1137" s="4">
        <v>0</v>
      </c>
    </row>
    <row r="1138" spans="1:9" x14ac:dyDescent="0.15">
      <c r="A1138" s="2">
        <v>5</v>
      </c>
      <c r="B1138" s="1" t="s">
        <v>167</v>
      </c>
      <c r="C1138" s="4">
        <v>16</v>
      </c>
      <c r="D1138" s="8">
        <v>3.48</v>
      </c>
      <c r="E1138" s="4">
        <v>10</v>
      </c>
      <c r="F1138" s="8">
        <v>2.91</v>
      </c>
      <c r="G1138" s="4">
        <v>6</v>
      </c>
      <c r="H1138" s="8">
        <v>5.31</v>
      </c>
      <c r="I1138" s="4">
        <v>0</v>
      </c>
    </row>
    <row r="1139" spans="1:9" x14ac:dyDescent="0.15">
      <c r="A1139" s="2">
        <v>6</v>
      </c>
      <c r="B1139" s="1" t="s">
        <v>132</v>
      </c>
      <c r="C1139" s="4">
        <v>12</v>
      </c>
      <c r="D1139" s="8">
        <v>2.61</v>
      </c>
      <c r="E1139" s="4">
        <v>12</v>
      </c>
      <c r="F1139" s="8">
        <v>3.49</v>
      </c>
      <c r="G1139" s="4">
        <v>0</v>
      </c>
      <c r="H1139" s="8">
        <v>0</v>
      </c>
      <c r="I1139" s="4">
        <v>0</v>
      </c>
    </row>
    <row r="1140" spans="1:9" x14ac:dyDescent="0.15">
      <c r="A1140" s="2">
        <v>6</v>
      </c>
      <c r="B1140" s="1" t="s">
        <v>138</v>
      </c>
      <c r="C1140" s="4">
        <v>12</v>
      </c>
      <c r="D1140" s="8">
        <v>2.61</v>
      </c>
      <c r="E1140" s="4">
        <v>11</v>
      </c>
      <c r="F1140" s="8">
        <v>3.2</v>
      </c>
      <c r="G1140" s="4">
        <v>1</v>
      </c>
      <c r="H1140" s="8">
        <v>0.88</v>
      </c>
      <c r="I1140" s="4">
        <v>0</v>
      </c>
    </row>
    <row r="1141" spans="1:9" x14ac:dyDescent="0.15">
      <c r="A1141" s="2">
        <v>8</v>
      </c>
      <c r="B1141" s="1" t="s">
        <v>131</v>
      </c>
      <c r="C1141" s="4">
        <v>11</v>
      </c>
      <c r="D1141" s="8">
        <v>2.39</v>
      </c>
      <c r="E1141" s="4">
        <v>10</v>
      </c>
      <c r="F1141" s="8">
        <v>2.91</v>
      </c>
      <c r="G1141" s="4">
        <v>1</v>
      </c>
      <c r="H1141" s="8">
        <v>0.88</v>
      </c>
      <c r="I1141" s="4">
        <v>0</v>
      </c>
    </row>
    <row r="1142" spans="1:9" x14ac:dyDescent="0.15">
      <c r="A1142" s="2">
        <v>8</v>
      </c>
      <c r="B1142" s="1" t="s">
        <v>136</v>
      </c>
      <c r="C1142" s="4">
        <v>11</v>
      </c>
      <c r="D1142" s="8">
        <v>2.39</v>
      </c>
      <c r="E1142" s="4">
        <v>11</v>
      </c>
      <c r="F1142" s="8">
        <v>3.2</v>
      </c>
      <c r="G1142" s="4">
        <v>0</v>
      </c>
      <c r="H1142" s="8">
        <v>0</v>
      </c>
      <c r="I1142" s="4">
        <v>0</v>
      </c>
    </row>
    <row r="1143" spans="1:9" x14ac:dyDescent="0.15">
      <c r="A1143" s="2">
        <v>10</v>
      </c>
      <c r="B1143" s="1" t="s">
        <v>188</v>
      </c>
      <c r="C1143" s="4">
        <v>10</v>
      </c>
      <c r="D1143" s="8">
        <v>2.17</v>
      </c>
      <c r="E1143" s="4">
        <v>9</v>
      </c>
      <c r="F1143" s="8">
        <v>2.62</v>
      </c>
      <c r="G1143" s="4">
        <v>1</v>
      </c>
      <c r="H1143" s="8">
        <v>0.88</v>
      </c>
      <c r="I1143" s="4">
        <v>0</v>
      </c>
    </row>
    <row r="1144" spans="1:9" x14ac:dyDescent="0.15">
      <c r="A1144" s="2">
        <v>11</v>
      </c>
      <c r="B1144" s="1" t="s">
        <v>127</v>
      </c>
      <c r="C1144" s="4">
        <v>9</v>
      </c>
      <c r="D1144" s="8">
        <v>1.96</v>
      </c>
      <c r="E1144" s="4">
        <v>8</v>
      </c>
      <c r="F1144" s="8">
        <v>2.33</v>
      </c>
      <c r="G1144" s="4">
        <v>1</v>
      </c>
      <c r="H1144" s="8">
        <v>0.88</v>
      </c>
      <c r="I1144" s="4">
        <v>0</v>
      </c>
    </row>
    <row r="1145" spans="1:9" x14ac:dyDescent="0.15">
      <c r="A1145" s="2">
        <v>11</v>
      </c>
      <c r="B1145" s="1" t="s">
        <v>146</v>
      </c>
      <c r="C1145" s="4">
        <v>9</v>
      </c>
      <c r="D1145" s="8">
        <v>1.96</v>
      </c>
      <c r="E1145" s="4">
        <v>7</v>
      </c>
      <c r="F1145" s="8">
        <v>2.0299999999999998</v>
      </c>
      <c r="G1145" s="4">
        <v>2</v>
      </c>
      <c r="H1145" s="8">
        <v>1.77</v>
      </c>
      <c r="I1145" s="4">
        <v>0</v>
      </c>
    </row>
    <row r="1146" spans="1:9" x14ac:dyDescent="0.15">
      <c r="A1146" s="2">
        <v>11</v>
      </c>
      <c r="B1146" s="1" t="s">
        <v>130</v>
      </c>
      <c r="C1146" s="4">
        <v>9</v>
      </c>
      <c r="D1146" s="8">
        <v>1.96</v>
      </c>
      <c r="E1146" s="4">
        <v>7</v>
      </c>
      <c r="F1146" s="8">
        <v>2.0299999999999998</v>
      </c>
      <c r="G1146" s="4">
        <v>2</v>
      </c>
      <c r="H1146" s="8">
        <v>1.77</v>
      </c>
      <c r="I1146" s="4">
        <v>0</v>
      </c>
    </row>
    <row r="1147" spans="1:9" x14ac:dyDescent="0.15">
      <c r="A1147" s="2">
        <v>11</v>
      </c>
      <c r="B1147" s="1" t="s">
        <v>135</v>
      </c>
      <c r="C1147" s="4">
        <v>9</v>
      </c>
      <c r="D1147" s="8">
        <v>1.96</v>
      </c>
      <c r="E1147" s="4">
        <v>9</v>
      </c>
      <c r="F1147" s="8">
        <v>2.62</v>
      </c>
      <c r="G1147" s="4">
        <v>0</v>
      </c>
      <c r="H1147" s="8">
        <v>0</v>
      </c>
      <c r="I1147" s="4">
        <v>0</v>
      </c>
    </row>
    <row r="1148" spans="1:9" x14ac:dyDescent="0.15">
      <c r="A1148" s="2">
        <v>11</v>
      </c>
      <c r="B1148" s="1" t="s">
        <v>166</v>
      </c>
      <c r="C1148" s="4">
        <v>9</v>
      </c>
      <c r="D1148" s="8">
        <v>1.96</v>
      </c>
      <c r="E1148" s="4">
        <v>8</v>
      </c>
      <c r="F1148" s="8">
        <v>2.33</v>
      </c>
      <c r="G1148" s="4">
        <v>1</v>
      </c>
      <c r="H1148" s="8">
        <v>0.88</v>
      </c>
      <c r="I1148" s="4">
        <v>0</v>
      </c>
    </row>
    <row r="1149" spans="1:9" x14ac:dyDescent="0.15">
      <c r="A1149" s="2">
        <v>16</v>
      </c>
      <c r="B1149" s="1" t="s">
        <v>172</v>
      </c>
      <c r="C1149" s="4">
        <v>8</v>
      </c>
      <c r="D1149" s="8">
        <v>1.74</v>
      </c>
      <c r="E1149" s="4">
        <v>2</v>
      </c>
      <c r="F1149" s="8">
        <v>0.57999999999999996</v>
      </c>
      <c r="G1149" s="4">
        <v>6</v>
      </c>
      <c r="H1149" s="8">
        <v>5.31</v>
      </c>
      <c r="I1149" s="4">
        <v>0</v>
      </c>
    </row>
    <row r="1150" spans="1:9" x14ac:dyDescent="0.15">
      <c r="A1150" s="2">
        <v>17</v>
      </c>
      <c r="B1150" s="1" t="s">
        <v>181</v>
      </c>
      <c r="C1150" s="4">
        <v>7</v>
      </c>
      <c r="D1150" s="8">
        <v>1.52</v>
      </c>
      <c r="E1150" s="4">
        <v>5</v>
      </c>
      <c r="F1150" s="8">
        <v>1.45</v>
      </c>
      <c r="G1150" s="4">
        <v>2</v>
      </c>
      <c r="H1150" s="8">
        <v>1.77</v>
      </c>
      <c r="I1150" s="4">
        <v>0</v>
      </c>
    </row>
    <row r="1151" spans="1:9" x14ac:dyDescent="0.15">
      <c r="A1151" s="2">
        <v>17</v>
      </c>
      <c r="B1151" s="1" t="s">
        <v>197</v>
      </c>
      <c r="C1151" s="4">
        <v>7</v>
      </c>
      <c r="D1151" s="8">
        <v>1.52</v>
      </c>
      <c r="E1151" s="4">
        <v>4</v>
      </c>
      <c r="F1151" s="8">
        <v>1.1599999999999999</v>
      </c>
      <c r="G1151" s="4">
        <v>3</v>
      </c>
      <c r="H1151" s="8">
        <v>2.65</v>
      </c>
      <c r="I1151" s="4">
        <v>0</v>
      </c>
    </row>
    <row r="1152" spans="1:9" x14ac:dyDescent="0.15">
      <c r="A1152" s="2">
        <v>17</v>
      </c>
      <c r="B1152" s="1" t="s">
        <v>199</v>
      </c>
      <c r="C1152" s="4">
        <v>7</v>
      </c>
      <c r="D1152" s="8">
        <v>1.52</v>
      </c>
      <c r="E1152" s="4">
        <v>6</v>
      </c>
      <c r="F1152" s="8">
        <v>1.74</v>
      </c>
      <c r="G1152" s="4">
        <v>1</v>
      </c>
      <c r="H1152" s="8">
        <v>0.88</v>
      </c>
      <c r="I1152" s="4">
        <v>0</v>
      </c>
    </row>
    <row r="1153" spans="1:9" x14ac:dyDescent="0.15">
      <c r="A1153" s="2">
        <v>17</v>
      </c>
      <c r="B1153" s="1" t="s">
        <v>129</v>
      </c>
      <c r="C1153" s="4">
        <v>7</v>
      </c>
      <c r="D1153" s="8">
        <v>1.52</v>
      </c>
      <c r="E1153" s="4">
        <v>5</v>
      </c>
      <c r="F1153" s="8">
        <v>1.45</v>
      </c>
      <c r="G1153" s="4">
        <v>2</v>
      </c>
      <c r="H1153" s="8">
        <v>1.77</v>
      </c>
      <c r="I1153" s="4">
        <v>0</v>
      </c>
    </row>
    <row r="1154" spans="1:9" x14ac:dyDescent="0.15">
      <c r="A1154" s="2">
        <v>17</v>
      </c>
      <c r="B1154" s="1" t="s">
        <v>196</v>
      </c>
      <c r="C1154" s="4">
        <v>7</v>
      </c>
      <c r="D1154" s="8">
        <v>1.52</v>
      </c>
      <c r="E1154" s="4">
        <v>6</v>
      </c>
      <c r="F1154" s="8">
        <v>1.74</v>
      </c>
      <c r="G1154" s="4">
        <v>1</v>
      </c>
      <c r="H1154" s="8">
        <v>0.88</v>
      </c>
      <c r="I1154" s="4">
        <v>0</v>
      </c>
    </row>
    <row r="1155" spans="1:9" x14ac:dyDescent="0.15">
      <c r="A1155" s="2">
        <v>17</v>
      </c>
      <c r="B1155" s="1" t="s">
        <v>137</v>
      </c>
      <c r="C1155" s="4">
        <v>7</v>
      </c>
      <c r="D1155" s="8">
        <v>1.52</v>
      </c>
      <c r="E1155" s="4">
        <v>7</v>
      </c>
      <c r="F1155" s="8">
        <v>2.0299999999999998</v>
      </c>
      <c r="G1155" s="4">
        <v>0</v>
      </c>
      <c r="H1155" s="8">
        <v>0</v>
      </c>
      <c r="I1155" s="4">
        <v>0</v>
      </c>
    </row>
    <row r="1156" spans="1:9" x14ac:dyDescent="0.15">
      <c r="A1156" s="1"/>
      <c r="C1156" s="4"/>
      <c r="D1156" s="8"/>
      <c r="E1156" s="4"/>
      <c r="F1156" s="8"/>
      <c r="G1156" s="4"/>
      <c r="H1156" s="8"/>
      <c r="I1156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 事業所数 産業小分類トップ２０</oddHeader>
    <oddFooter>&amp;C&amp;P /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346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188</v>
      </c>
      <c r="D6" s="8">
        <v>13.45</v>
      </c>
      <c r="E6" s="12">
        <v>111</v>
      </c>
      <c r="F6" s="8">
        <v>10.69</v>
      </c>
      <c r="G6" s="12">
        <v>77</v>
      </c>
      <c r="H6" s="8">
        <v>21.63</v>
      </c>
      <c r="I6" s="12">
        <v>0</v>
      </c>
    </row>
    <row r="7" spans="2:9" ht="15" customHeight="1" x14ac:dyDescent="0.15">
      <c r="B7" t="s">
        <v>53</v>
      </c>
      <c r="C7" s="12">
        <v>209</v>
      </c>
      <c r="D7" s="8">
        <v>14.95</v>
      </c>
      <c r="E7" s="12">
        <v>151</v>
      </c>
      <c r="F7" s="8">
        <v>14.55</v>
      </c>
      <c r="G7" s="12">
        <v>58</v>
      </c>
      <c r="H7" s="8">
        <v>16.29</v>
      </c>
      <c r="I7" s="12">
        <v>0</v>
      </c>
    </row>
    <row r="8" spans="2:9" ht="15" customHeight="1" x14ac:dyDescent="0.15">
      <c r="B8" t="s">
        <v>54</v>
      </c>
      <c r="C8" s="12">
        <v>2</v>
      </c>
      <c r="D8" s="8">
        <v>0.14000000000000001</v>
      </c>
      <c r="E8" s="12">
        <v>0</v>
      </c>
      <c r="F8" s="8">
        <v>0</v>
      </c>
      <c r="G8" s="12">
        <v>2</v>
      </c>
      <c r="H8" s="8">
        <v>0.56000000000000005</v>
      </c>
      <c r="I8" s="12">
        <v>0</v>
      </c>
    </row>
    <row r="9" spans="2:9" ht="15" customHeight="1" x14ac:dyDescent="0.15">
      <c r="B9" t="s">
        <v>55</v>
      </c>
      <c r="C9" s="12">
        <v>2</v>
      </c>
      <c r="D9" s="8">
        <v>0.14000000000000001</v>
      </c>
      <c r="E9" s="12">
        <v>1</v>
      </c>
      <c r="F9" s="8">
        <v>0.1</v>
      </c>
      <c r="G9" s="12">
        <v>1</v>
      </c>
      <c r="H9" s="8">
        <v>0.28000000000000003</v>
      </c>
      <c r="I9" s="12">
        <v>0</v>
      </c>
    </row>
    <row r="10" spans="2:9" ht="15" customHeight="1" x14ac:dyDescent="0.15">
      <c r="B10" t="s">
        <v>56</v>
      </c>
      <c r="C10" s="12">
        <v>9</v>
      </c>
      <c r="D10" s="8">
        <v>0.64</v>
      </c>
      <c r="E10" s="12">
        <v>2</v>
      </c>
      <c r="F10" s="8">
        <v>0.19</v>
      </c>
      <c r="G10" s="12">
        <v>7</v>
      </c>
      <c r="H10" s="8">
        <v>1.97</v>
      </c>
      <c r="I10" s="12">
        <v>0</v>
      </c>
    </row>
    <row r="11" spans="2:9" ht="15" customHeight="1" x14ac:dyDescent="0.15">
      <c r="B11" t="s">
        <v>57</v>
      </c>
      <c r="C11" s="12">
        <v>443</v>
      </c>
      <c r="D11" s="8">
        <v>31.69</v>
      </c>
      <c r="E11" s="12">
        <v>329</v>
      </c>
      <c r="F11" s="8">
        <v>31.7</v>
      </c>
      <c r="G11" s="12">
        <v>112</v>
      </c>
      <c r="H11" s="8">
        <v>31.46</v>
      </c>
      <c r="I11" s="12">
        <v>2</v>
      </c>
    </row>
    <row r="12" spans="2:9" ht="15" customHeight="1" x14ac:dyDescent="0.15">
      <c r="B12" t="s">
        <v>58</v>
      </c>
      <c r="C12" s="12">
        <v>5</v>
      </c>
      <c r="D12" s="8">
        <v>0.36</v>
      </c>
      <c r="E12" s="12">
        <v>2</v>
      </c>
      <c r="F12" s="8">
        <v>0.19</v>
      </c>
      <c r="G12" s="12">
        <v>3</v>
      </c>
      <c r="H12" s="8">
        <v>0.84</v>
      </c>
      <c r="I12" s="12">
        <v>0</v>
      </c>
    </row>
    <row r="13" spans="2:9" ht="15" customHeight="1" x14ac:dyDescent="0.15">
      <c r="B13" t="s">
        <v>59</v>
      </c>
      <c r="C13" s="12">
        <v>62</v>
      </c>
      <c r="D13" s="8">
        <v>4.43</v>
      </c>
      <c r="E13" s="12">
        <v>40</v>
      </c>
      <c r="F13" s="8">
        <v>3.85</v>
      </c>
      <c r="G13" s="12">
        <v>22</v>
      </c>
      <c r="H13" s="8">
        <v>6.18</v>
      </c>
      <c r="I13" s="12">
        <v>0</v>
      </c>
    </row>
    <row r="14" spans="2:9" ht="15" customHeight="1" x14ac:dyDescent="0.15">
      <c r="B14" t="s">
        <v>60</v>
      </c>
      <c r="C14" s="12">
        <v>42</v>
      </c>
      <c r="D14" s="8">
        <v>3</v>
      </c>
      <c r="E14" s="12">
        <v>26</v>
      </c>
      <c r="F14" s="8">
        <v>2.5</v>
      </c>
      <c r="G14" s="12">
        <v>16</v>
      </c>
      <c r="H14" s="8">
        <v>4.49</v>
      </c>
      <c r="I14" s="12">
        <v>0</v>
      </c>
    </row>
    <row r="15" spans="2:9" ht="15" customHeight="1" x14ac:dyDescent="0.15">
      <c r="B15" t="s">
        <v>61</v>
      </c>
      <c r="C15" s="12">
        <v>178</v>
      </c>
      <c r="D15" s="8">
        <v>12.73</v>
      </c>
      <c r="E15" s="12">
        <v>159</v>
      </c>
      <c r="F15" s="8">
        <v>15.32</v>
      </c>
      <c r="G15" s="12">
        <v>18</v>
      </c>
      <c r="H15" s="8">
        <v>5.0599999999999996</v>
      </c>
      <c r="I15" s="12">
        <v>1</v>
      </c>
    </row>
    <row r="16" spans="2:9" ht="15" customHeight="1" x14ac:dyDescent="0.15">
      <c r="B16" t="s">
        <v>62</v>
      </c>
      <c r="C16" s="12">
        <v>137</v>
      </c>
      <c r="D16" s="8">
        <v>9.8000000000000007</v>
      </c>
      <c r="E16" s="12">
        <v>123</v>
      </c>
      <c r="F16" s="8">
        <v>11.85</v>
      </c>
      <c r="G16" s="12">
        <v>14</v>
      </c>
      <c r="H16" s="8">
        <v>3.93</v>
      </c>
      <c r="I16" s="12">
        <v>0</v>
      </c>
    </row>
    <row r="17" spans="2:9" ht="15" customHeight="1" x14ac:dyDescent="0.15">
      <c r="B17" t="s">
        <v>63</v>
      </c>
      <c r="C17" s="12">
        <v>44</v>
      </c>
      <c r="D17" s="8">
        <v>3.15</v>
      </c>
      <c r="E17" s="12">
        <v>40</v>
      </c>
      <c r="F17" s="8">
        <v>3.85</v>
      </c>
      <c r="G17" s="12">
        <v>4</v>
      </c>
      <c r="H17" s="8">
        <v>1.1200000000000001</v>
      </c>
      <c r="I17" s="12">
        <v>0</v>
      </c>
    </row>
    <row r="18" spans="2:9" ht="15" customHeight="1" x14ac:dyDescent="0.15">
      <c r="B18" t="s">
        <v>64</v>
      </c>
      <c r="C18" s="12">
        <v>44</v>
      </c>
      <c r="D18" s="8">
        <v>3.15</v>
      </c>
      <c r="E18" s="12">
        <v>36</v>
      </c>
      <c r="F18" s="8">
        <v>3.47</v>
      </c>
      <c r="G18" s="12">
        <v>8</v>
      </c>
      <c r="H18" s="8">
        <v>2.25</v>
      </c>
      <c r="I18" s="12">
        <v>0</v>
      </c>
    </row>
    <row r="19" spans="2:9" ht="15" customHeight="1" x14ac:dyDescent="0.15">
      <c r="B19" t="s">
        <v>65</v>
      </c>
      <c r="C19" s="12">
        <v>33</v>
      </c>
      <c r="D19" s="8">
        <v>2.36</v>
      </c>
      <c r="E19" s="12">
        <v>18</v>
      </c>
      <c r="F19" s="8">
        <v>1.73</v>
      </c>
      <c r="G19" s="12">
        <v>14</v>
      </c>
      <c r="H19" s="8">
        <v>3.93</v>
      </c>
      <c r="I19" s="12">
        <v>1</v>
      </c>
    </row>
    <row r="20" spans="2:9" ht="15" customHeight="1" x14ac:dyDescent="0.15">
      <c r="B20" s="9" t="s">
        <v>215</v>
      </c>
      <c r="C20" s="12">
        <f>SUM(LTBL_28226[総数／事業所数])</f>
        <v>1398</v>
      </c>
      <c r="E20" s="12">
        <f>SUBTOTAL(109,LTBL_28226[個人／事業所数])</f>
        <v>1038</v>
      </c>
      <c r="G20" s="12">
        <f>SUBTOTAL(109,LTBL_28226[法人／事業所数])</f>
        <v>356</v>
      </c>
      <c r="I20" s="12">
        <f>SUBTOTAL(109,LTBL_28226[法人以外の団体／事業所数])</f>
        <v>4</v>
      </c>
    </row>
    <row r="21" spans="2:9" ht="15" customHeight="1" x14ac:dyDescent="0.15">
      <c r="E21" s="11">
        <f>LTBL_28226[[#Totals],[個人／事業所数]]/LTBL_28226[[#Totals],[総数／事業所数]]</f>
        <v>0.74248927038626611</v>
      </c>
      <c r="G21" s="11">
        <f>LTBL_28226[[#Totals],[法人／事業所数]]/LTBL_28226[[#Totals],[総数／事業所数]]</f>
        <v>0.25464949928469244</v>
      </c>
      <c r="I21" s="11">
        <f>LTBL_28226[[#Totals],[法人以外の団体／事業所数]]/LTBL_28226[[#Totals],[総数／事業所数]]</f>
        <v>2.8612303290414878E-3</v>
      </c>
    </row>
    <row r="23" spans="2:9" ht="33" customHeight="1" x14ac:dyDescent="0.15">
      <c r="B23" t="s">
        <v>214</v>
      </c>
      <c r="C23" s="10" t="s">
        <v>67</v>
      </c>
      <c r="D23" s="10" t="s">
        <v>347</v>
      </c>
      <c r="E23" s="10" t="s">
        <v>69</v>
      </c>
      <c r="F23" s="10" t="s">
        <v>247</v>
      </c>
      <c r="G23" s="10" t="s">
        <v>71</v>
      </c>
      <c r="H23" s="10" t="s">
        <v>223</v>
      </c>
      <c r="I23" s="10" t="s">
        <v>73</v>
      </c>
    </row>
    <row r="24" spans="2:9" ht="15" customHeight="1" x14ac:dyDescent="0.15">
      <c r="B24" t="s">
        <v>217</v>
      </c>
      <c r="C24">
        <v>8</v>
      </c>
      <c r="D24" t="s">
        <v>216</v>
      </c>
      <c r="E24">
        <v>0</v>
      </c>
      <c r="F24" t="s">
        <v>218</v>
      </c>
      <c r="G24">
        <v>8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3</v>
      </c>
      <c r="D25" t="s">
        <v>216</v>
      </c>
      <c r="E25">
        <v>0</v>
      </c>
      <c r="F25" t="s">
        <v>218</v>
      </c>
      <c r="G25">
        <v>3</v>
      </c>
      <c r="H25" t="s">
        <v>219</v>
      </c>
      <c r="I25">
        <v>0</v>
      </c>
    </row>
    <row r="28" spans="2:9" ht="33" customHeight="1" x14ac:dyDescent="0.15">
      <c r="B28" t="s">
        <v>229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89</v>
      </c>
      <c r="C29" s="12">
        <v>146</v>
      </c>
      <c r="D29" s="8">
        <v>10.44</v>
      </c>
      <c r="E29" s="12">
        <v>136</v>
      </c>
      <c r="F29" s="8">
        <v>13.1</v>
      </c>
      <c r="G29" s="12">
        <v>10</v>
      </c>
      <c r="H29" s="8">
        <v>2.81</v>
      </c>
      <c r="I29" s="12">
        <v>0</v>
      </c>
    </row>
    <row r="30" spans="2:9" ht="15" customHeight="1" x14ac:dyDescent="0.15">
      <c r="B30" t="s">
        <v>82</v>
      </c>
      <c r="C30" s="12">
        <v>138</v>
      </c>
      <c r="D30" s="8">
        <v>9.8699999999999992</v>
      </c>
      <c r="E30" s="12">
        <v>123</v>
      </c>
      <c r="F30" s="8">
        <v>11.85</v>
      </c>
      <c r="G30" s="12">
        <v>13</v>
      </c>
      <c r="H30" s="8">
        <v>3.65</v>
      </c>
      <c r="I30" s="12">
        <v>2</v>
      </c>
    </row>
    <row r="31" spans="2:9" ht="15" customHeight="1" x14ac:dyDescent="0.15">
      <c r="B31" t="s">
        <v>84</v>
      </c>
      <c r="C31" s="12">
        <v>128</v>
      </c>
      <c r="D31" s="8">
        <v>9.16</v>
      </c>
      <c r="E31" s="12">
        <v>84</v>
      </c>
      <c r="F31" s="8">
        <v>8.09</v>
      </c>
      <c r="G31" s="12">
        <v>44</v>
      </c>
      <c r="H31" s="8">
        <v>12.36</v>
      </c>
      <c r="I31" s="12">
        <v>0</v>
      </c>
    </row>
    <row r="32" spans="2:9" ht="15" customHeight="1" x14ac:dyDescent="0.15">
      <c r="B32" t="s">
        <v>90</v>
      </c>
      <c r="C32" s="12">
        <v>123</v>
      </c>
      <c r="D32" s="8">
        <v>8.8000000000000007</v>
      </c>
      <c r="E32" s="12">
        <v>117</v>
      </c>
      <c r="F32" s="8">
        <v>11.27</v>
      </c>
      <c r="G32" s="12">
        <v>6</v>
      </c>
      <c r="H32" s="8">
        <v>1.69</v>
      </c>
      <c r="I32" s="12">
        <v>0</v>
      </c>
    </row>
    <row r="33" spans="2:9" ht="15" customHeight="1" x14ac:dyDescent="0.15">
      <c r="B33" t="s">
        <v>74</v>
      </c>
      <c r="C33" s="12">
        <v>102</v>
      </c>
      <c r="D33" s="8">
        <v>7.3</v>
      </c>
      <c r="E33" s="12">
        <v>41</v>
      </c>
      <c r="F33" s="8">
        <v>3.95</v>
      </c>
      <c r="G33" s="12">
        <v>61</v>
      </c>
      <c r="H33" s="8">
        <v>17.13</v>
      </c>
      <c r="I33" s="12">
        <v>0</v>
      </c>
    </row>
    <row r="34" spans="2:9" ht="15" customHeight="1" x14ac:dyDescent="0.15">
      <c r="B34" t="s">
        <v>107</v>
      </c>
      <c r="C34" s="12">
        <v>90</v>
      </c>
      <c r="D34" s="8">
        <v>6.44</v>
      </c>
      <c r="E34" s="12">
        <v>80</v>
      </c>
      <c r="F34" s="8">
        <v>7.71</v>
      </c>
      <c r="G34" s="12">
        <v>10</v>
      </c>
      <c r="H34" s="8">
        <v>2.81</v>
      </c>
      <c r="I34" s="12">
        <v>0</v>
      </c>
    </row>
    <row r="35" spans="2:9" ht="15" customHeight="1" x14ac:dyDescent="0.15">
      <c r="B35" t="s">
        <v>75</v>
      </c>
      <c r="C35" s="12">
        <v>55</v>
      </c>
      <c r="D35" s="8">
        <v>3.93</v>
      </c>
      <c r="E35" s="12">
        <v>48</v>
      </c>
      <c r="F35" s="8">
        <v>4.62</v>
      </c>
      <c r="G35" s="12">
        <v>7</v>
      </c>
      <c r="H35" s="8">
        <v>1.97</v>
      </c>
      <c r="I35" s="12">
        <v>0</v>
      </c>
    </row>
    <row r="36" spans="2:9" ht="15" customHeight="1" x14ac:dyDescent="0.15">
      <c r="B36" t="s">
        <v>83</v>
      </c>
      <c r="C36" s="12">
        <v>53</v>
      </c>
      <c r="D36" s="8">
        <v>3.79</v>
      </c>
      <c r="E36" s="12">
        <v>40</v>
      </c>
      <c r="F36" s="8">
        <v>3.85</v>
      </c>
      <c r="G36" s="12">
        <v>13</v>
      </c>
      <c r="H36" s="8">
        <v>3.65</v>
      </c>
      <c r="I36" s="12">
        <v>0</v>
      </c>
    </row>
    <row r="37" spans="2:9" ht="15" customHeight="1" x14ac:dyDescent="0.15">
      <c r="B37" t="s">
        <v>86</v>
      </c>
      <c r="C37" s="12">
        <v>47</v>
      </c>
      <c r="D37" s="8">
        <v>3.36</v>
      </c>
      <c r="E37" s="12">
        <v>29</v>
      </c>
      <c r="F37" s="8">
        <v>2.79</v>
      </c>
      <c r="G37" s="12">
        <v>18</v>
      </c>
      <c r="H37" s="8">
        <v>5.0599999999999996</v>
      </c>
      <c r="I37" s="12">
        <v>0</v>
      </c>
    </row>
    <row r="38" spans="2:9" ht="15" customHeight="1" x14ac:dyDescent="0.15">
      <c r="B38" t="s">
        <v>81</v>
      </c>
      <c r="C38" s="12">
        <v>46</v>
      </c>
      <c r="D38" s="8">
        <v>3.29</v>
      </c>
      <c r="E38" s="12">
        <v>33</v>
      </c>
      <c r="F38" s="8">
        <v>3.18</v>
      </c>
      <c r="G38" s="12">
        <v>13</v>
      </c>
      <c r="H38" s="8">
        <v>3.65</v>
      </c>
      <c r="I38" s="12">
        <v>0</v>
      </c>
    </row>
    <row r="39" spans="2:9" ht="15" customHeight="1" x14ac:dyDescent="0.15">
      <c r="B39" t="s">
        <v>92</v>
      </c>
      <c r="C39" s="12">
        <v>44</v>
      </c>
      <c r="D39" s="8">
        <v>3.15</v>
      </c>
      <c r="E39" s="12">
        <v>40</v>
      </c>
      <c r="F39" s="8">
        <v>3.85</v>
      </c>
      <c r="G39" s="12">
        <v>4</v>
      </c>
      <c r="H39" s="8">
        <v>1.1200000000000001</v>
      </c>
      <c r="I39" s="12">
        <v>0</v>
      </c>
    </row>
    <row r="40" spans="2:9" ht="15" customHeight="1" x14ac:dyDescent="0.15">
      <c r="B40" t="s">
        <v>93</v>
      </c>
      <c r="C40" s="12">
        <v>40</v>
      </c>
      <c r="D40" s="8">
        <v>2.86</v>
      </c>
      <c r="E40" s="12">
        <v>36</v>
      </c>
      <c r="F40" s="8">
        <v>3.47</v>
      </c>
      <c r="G40" s="12">
        <v>4</v>
      </c>
      <c r="H40" s="8">
        <v>1.1200000000000001</v>
      </c>
      <c r="I40" s="12">
        <v>0</v>
      </c>
    </row>
    <row r="41" spans="2:9" ht="15" customHeight="1" x14ac:dyDescent="0.15">
      <c r="B41" t="s">
        <v>112</v>
      </c>
      <c r="C41" s="12">
        <v>34</v>
      </c>
      <c r="D41" s="8">
        <v>2.4300000000000002</v>
      </c>
      <c r="E41" s="12">
        <v>22</v>
      </c>
      <c r="F41" s="8">
        <v>2.12</v>
      </c>
      <c r="G41" s="12">
        <v>12</v>
      </c>
      <c r="H41" s="8">
        <v>3.37</v>
      </c>
      <c r="I41" s="12">
        <v>0</v>
      </c>
    </row>
    <row r="42" spans="2:9" ht="15" customHeight="1" x14ac:dyDescent="0.15">
      <c r="B42" t="s">
        <v>76</v>
      </c>
      <c r="C42" s="12">
        <v>31</v>
      </c>
      <c r="D42" s="8">
        <v>2.2200000000000002</v>
      </c>
      <c r="E42" s="12">
        <v>22</v>
      </c>
      <c r="F42" s="8">
        <v>2.12</v>
      </c>
      <c r="G42" s="12">
        <v>9</v>
      </c>
      <c r="H42" s="8">
        <v>2.5299999999999998</v>
      </c>
      <c r="I42" s="12">
        <v>0</v>
      </c>
    </row>
    <row r="43" spans="2:9" ht="15" customHeight="1" x14ac:dyDescent="0.15">
      <c r="B43" t="s">
        <v>96</v>
      </c>
      <c r="C43" s="12">
        <v>30</v>
      </c>
      <c r="D43" s="8">
        <v>2.15</v>
      </c>
      <c r="E43" s="12">
        <v>21</v>
      </c>
      <c r="F43" s="8">
        <v>2.02</v>
      </c>
      <c r="G43" s="12">
        <v>9</v>
      </c>
      <c r="H43" s="8">
        <v>2.5299999999999998</v>
      </c>
      <c r="I43" s="12">
        <v>0</v>
      </c>
    </row>
    <row r="44" spans="2:9" ht="15" customHeight="1" x14ac:dyDescent="0.15">
      <c r="B44" t="s">
        <v>108</v>
      </c>
      <c r="C44" s="12">
        <v>26</v>
      </c>
      <c r="D44" s="8">
        <v>1.86</v>
      </c>
      <c r="E44" s="12">
        <v>21</v>
      </c>
      <c r="F44" s="8">
        <v>2.02</v>
      </c>
      <c r="G44" s="12">
        <v>4</v>
      </c>
      <c r="H44" s="8">
        <v>1.1200000000000001</v>
      </c>
      <c r="I44" s="12">
        <v>1</v>
      </c>
    </row>
    <row r="45" spans="2:9" ht="15" customHeight="1" x14ac:dyDescent="0.15">
      <c r="B45" t="s">
        <v>88</v>
      </c>
      <c r="C45" s="12">
        <v>22</v>
      </c>
      <c r="D45" s="8">
        <v>1.57</v>
      </c>
      <c r="E45" s="12">
        <v>11</v>
      </c>
      <c r="F45" s="8">
        <v>1.06</v>
      </c>
      <c r="G45" s="12">
        <v>11</v>
      </c>
      <c r="H45" s="8">
        <v>3.09</v>
      </c>
      <c r="I45" s="12">
        <v>0</v>
      </c>
    </row>
    <row r="46" spans="2:9" ht="15" customHeight="1" x14ac:dyDescent="0.15">
      <c r="B46" t="s">
        <v>87</v>
      </c>
      <c r="C46" s="12">
        <v>20</v>
      </c>
      <c r="D46" s="8">
        <v>1.43</v>
      </c>
      <c r="E46" s="12">
        <v>15</v>
      </c>
      <c r="F46" s="8">
        <v>1.45</v>
      </c>
      <c r="G46" s="12">
        <v>5</v>
      </c>
      <c r="H46" s="8">
        <v>1.4</v>
      </c>
      <c r="I46" s="12">
        <v>0</v>
      </c>
    </row>
    <row r="47" spans="2:9" ht="15" customHeight="1" x14ac:dyDescent="0.15">
      <c r="B47" t="s">
        <v>78</v>
      </c>
      <c r="C47" s="12">
        <v>17</v>
      </c>
      <c r="D47" s="8">
        <v>1.22</v>
      </c>
      <c r="E47" s="12">
        <v>7</v>
      </c>
      <c r="F47" s="8">
        <v>0.67</v>
      </c>
      <c r="G47" s="12">
        <v>10</v>
      </c>
      <c r="H47" s="8">
        <v>2.81</v>
      </c>
      <c r="I47" s="12">
        <v>0</v>
      </c>
    </row>
    <row r="48" spans="2:9" ht="15" customHeight="1" x14ac:dyDescent="0.15">
      <c r="B48" t="s">
        <v>85</v>
      </c>
      <c r="C48" s="12">
        <v>15</v>
      </c>
      <c r="D48" s="8">
        <v>1.07</v>
      </c>
      <c r="E48" s="12">
        <v>11</v>
      </c>
      <c r="F48" s="8">
        <v>1.06</v>
      </c>
      <c r="G48" s="12">
        <v>4</v>
      </c>
      <c r="H48" s="8">
        <v>1.1200000000000001</v>
      </c>
      <c r="I48" s="12">
        <v>0</v>
      </c>
    </row>
    <row r="49" spans="2:9" ht="15" customHeight="1" x14ac:dyDescent="0.15">
      <c r="B49" t="s">
        <v>106</v>
      </c>
      <c r="C49" s="12">
        <v>15</v>
      </c>
      <c r="D49" s="8">
        <v>1.07</v>
      </c>
      <c r="E49" s="12">
        <v>13</v>
      </c>
      <c r="F49" s="8">
        <v>1.25</v>
      </c>
      <c r="G49" s="12">
        <v>2</v>
      </c>
      <c r="H49" s="8">
        <v>0.56000000000000005</v>
      </c>
      <c r="I49" s="12">
        <v>0</v>
      </c>
    </row>
    <row r="52" spans="2:9" ht="33" customHeight="1" x14ac:dyDescent="0.15">
      <c r="B52" t="s">
        <v>348</v>
      </c>
      <c r="C52" s="10" t="s">
        <v>67</v>
      </c>
      <c r="D52" s="10" t="s">
        <v>68</v>
      </c>
      <c r="E52" s="10" t="s">
        <v>69</v>
      </c>
      <c r="F52" s="10" t="s">
        <v>70</v>
      </c>
      <c r="G52" s="10" t="s">
        <v>71</v>
      </c>
      <c r="H52" s="10" t="s">
        <v>72</v>
      </c>
      <c r="I52" s="10" t="s">
        <v>73</v>
      </c>
    </row>
    <row r="53" spans="2:9" ht="15" customHeight="1" x14ac:dyDescent="0.15">
      <c r="B53" t="s">
        <v>197</v>
      </c>
      <c r="C53" s="12">
        <v>78</v>
      </c>
      <c r="D53" s="8">
        <v>5.58</v>
      </c>
      <c r="E53" s="12">
        <v>72</v>
      </c>
      <c r="F53" s="8">
        <v>6.94</v>
      </c>
      <c r="G53" s="12">
        <v>6</v>
      </c>
      <c r="H53" s="8">
        <v>1.69</v>
      </c>
      <c r="I53" s="12">
        <v>0</v>
      </c>
    </row>
    <row r="54" spans="2:9" ht="15" customHeight="1" x14ac:dyDescent="0.15">
      <c r="B54" t="s">
        <v>138</v>
      </c>
      <c r="C54" s="12">
        <v>56</v>
      </c>
      <c r="D54" s="8">
        <v>4.01</v>
      </c>
      <c r="E54" s="12">
        <v>52</v>
      </c>
      <c r="F54" s="8">
        <v>5.01</v>
      </c>
      <c r="G54" s="12">
        <v>4</v>
      </c>
      <c r="H54" s="8">
        <v>1.1200000000000001</v>
      </c>
      <c r="I54" s="12">
        <v>0</v>
      </c>
    </row>
    <row r="55" spans="2:9" ht="15" customHeight="1" x14ac:dyDescent="0.15">
      <c r="B55" t="s">
        <v>125</v>
      </c>
      <c r="C55" s="12">
        <v>55</v>
      </c>
      <c r="D55" s="8">
        <v>3.93</v>
      </c>
      <c r="E55" s="12">
        <v>10</v>
      </c>
      <c r="F55" s="8">
        <v>0.96</v>
      </c>
      <c r="G55" s="12">
        <v>45</v>
      </c>
      <c r="H55" s="8">
        <v>12.64</v>
      </c>
      <c r="I55" s="12">
        <v>0</v>
      </c>
    </row>
    <row r="56" spans="2:9" ht="15" customHeight="1" x14ac:dyDescent="0.15">
      <c r="B56" t="s">
        <v>141</v>
      </c>
      <c r="C56" s="12">
        <v>54</v>
      </c>
      <c r="D56" s="8">
        <v>3.86</v>
      </c>
      <c r="E56" s="12">
        <v>52</v>
      </c>
      <c r="F56" s="8">
        <v>5.01</v>
      </c>
      <c r="G56" s="12">
        <v>2</v>
      </c>
      <c r="H56" s="8">
        <v>0.56000000000000005</v>
      </c>
      <c r="I56" s="12">
        <v>0</v>
      </c>
    </row>
    <row r="57" spans="2:9" ht="15" customHeight="1" x14ac:dyDescent="0.15">
      <c r="B57" t="s">
        <v>140</v>
      </c>
      <c r="C57" s="12">
        <v>44</v>
      </c>
      <c r="D57" s="8">
        <v>3.15</v>
      </c>
      <c r="E57" s="12">
        <v>43</v>
      </c>
      <c r="F57" s="8">
        <v>4.1399999999999997</v>
      </c>
      <c r="G57" s="12">
        <v>1</v>
      </c>
      <c r="H57" s="8">
        <v>0.28000000000000003</v>
      </c>
      <c r="I57" s="12">
        <v>0</v>
      </c>
    </row>
    <row r="58" spans="2:9" ht="15" customHeight="1" x14ac:dyDescent="0.15">
      <c r="B58" t="s">
        <v>132</v>
      </c>
      <c r="C58" s="12">
        <v>42</v>
      </c>
      <c r="D58" s="8">
        <v>3</v>
      </c>
      <c r="E58" s="12">
        <v>32</v>
      </c>
      <c r="F58" s="8">
        <v>3.08</v>
      </c>
      <c r="G58" s="12">
        <v>10</v>
      </c>
      <c r="H58" s="8">
        <v>2.81</v>
      </c>
      <c r="I58" s="12">
        <v>0</v>
      </c>
    </row>
    <row r="59" spans="2:9" ht="15" customHeight="1" x14ac:dyDescent="0.15">
      <c r="B59" t="s">
        <v>129</v>
      </c>
      <c r="C59" s="12">
        <v>39</v>
      </c>
      <c r="D59" s="8">
        <v>2.79</v>
      </c>
      <c r="E59" s="12">
        <v>37</v>
      </c>
      <c r="F59" s="8">
        <v>3.56</v>
      </c>
      <c r="G59" s="12">
        <v>2</v>
      </c>
      <c r="H59" s="8">
        <v>0.56000000000000005</v>
      </c>
      <c r="I59" s="12">
        <v>0</v>
      </c>
    </row>
    <row r="60" spans="2:9" ht="15" customHeight="1" x14ac:dyDescent="0.15">
      <c r="B60" t="s">
        <v>198</v>
      </c>
      <c r="C60" s="12">
        <v>30</v>
      </c>
      <c r="D60" s="8">
        <v>2.15</v>
      </c>
      <c r="E60" s="12">
        <v>20</v>
      </c>
      <c r="F60" s="8">
        <v>1.93</v>
      </c>
      <c r="G60" s="12">
        <v>10</v>
      </c>
      <c r="H60" s="8">
        <v>2.81</v>
      </c>
      <c r="I60" s="12">
        <v>0</v>
      </c>
    </row>
    <row r="61" spans="2:9" ht="15" customHeight="1" x14ac:dyDescent="0.15">
      <c r="B61" t="s">
        <v>155</v>
      </c>
      <c r="C61" s="12">
        <v>28</v>
      </c>
      <c r="D61" s="8">
        <v>2</v>
      </c>
      <c r="E61" s="12">
        <v>26</v>
      </c>
      <c r="F61" s="8">
        <v>2.5</v>
      </c>
      <c r="G61" s="12">
        <v>2</v>
      </c>
      <c r="H61" s="8">
        <v>0.56000000000000005</v>
      </c>
      <c r="I61" s="12">
        <v>0</v>
      </c>
    </row>
    <row r="62" spans="2:9" ht="15" customHeight="1" x14ac:dyDescent="0.15">
      <c r="B62" t="s">
        <v>130</v>
      </c>
      <c r="C62" s="12">
        <v>28</v>
      </c>
      <c r="D62" s="8">
        <v>2</v>
      </c>
      <c r="E62" s="12">
        <v>21</v>
      </c>
      <c r="F62" s="8">
        <v>2.02</v>
      </c>
      <c r="G62" s="12">
        <v>7</v>
      </c>
      <c r="H62" s="8">
        <v>1.97</v>
      </c>
      <c r="I62" s="12">
        <v>0</v>
      </c>
    </row>
    <row r="63" spans="2:9" ht="15" customHeight="1" x14ac:dyDescent="0.15">
      <c r="B63" t="s">
        <v>134</v>
      </c>
      <c r="C63" s="12">
        <v>28</v>
      </c>
      <c r="D63" s="8">
        <v>2</v>
      </c>
      <c r="E63" s="12">
        <v>17</v>
      </c>
      <c r="F63" s="8">
        <v>1.64</v>
      </c>
      <c r="G63" s="12">
        <v>11</v>
      </c>
      <c r="H63" s="8">
        <v>3.09</v>
      </c>
      <c r="I63" s="12">
        <v>0</v>
      </c>
    </row>
    <row r="64" spans="2:9" ht="15" customHeight="1" x14ac:dyDescent="0.15">
      <c r="B64" t="s">
        <v>143</v>
      </c>
      <c r="C64" s="12">
        <v>27</v>
      </c>
      <c r="D64" s="8">
        <v>1.93</v>
      </c>
      <c r="E64" s="12">
        <v>26</v>
      </c>
      <c r="F64" s="8">
        <v>2.5</v>
      </c>
      <c r="G64" s="12">
        <v>1</v>
      </c>
      <c r="H64" s="8">
        <v>0.28000000000000003</v>
      </c>
      <c r="I64" s="12">
        <v>0</v>
      </c>
    </row>
    <row r="65" spans="2:9" ht="15" customHeight="1" x14ac:dyDescent="0.15">
      <c r="B65" t="s">
        <v>144</v>
      </c>
      <c r="C65" s="12">
        <v>26</v>
      </c>
      <c r="D65" s="8">
        <v>1.86</v>
      </c>
      <c r="E65" s="12">
        <v>22</v>
      </c>
      <c r="F65" s="8">
        <v>2.12</v>
      </c>
      <c r="G65" s="12">
        <v>4</v>
      </c>
      <c r="H65" s="8">
        <v>1.1200000000000001</v>
      </c>
      <c r="I65" s="12">
        <v>0</v>
      </c>
    </row>
    <row r="66" spans="2:9" ht="15" customHeight="1" x14ac:dyDescent="0.15">
      <c r="B66" t="s">
        <v>170</v>
      </c>
      <c r="C66" s="12">
        <v>25</v>
      </c>
      <c r="D66" s="8">
        <v>1.79</v>
      </c>
      <c r="E66" s="12">
        <v>21</v>
      </c>
      <c r="F66" s="8">
        <v>2.02</v>
      </c>
      <c r="G66" s="12">
        <v>4</v>
      </c>
      <c r="H66" s="8">
        <v>1.1200000000000001</v>
      </c>
      <c r="I66" s="12">
        <v>0</v>
      </c>
    </row>
    <row r="67" spans="2:9" ht="15" customHeight="1" x14ac:dyDescent="0.15">
      <c r="B67" t="s">
        <v>151</v>
      </c>
      <c r="C67" s="12">
        <v>24</v>
      </c>
      <c r="D67" s="8">
        <v>1.72</v>
      </c>
      <c r="E67" s="12">
        <v>23</v>
      </c>
      <c r="F67" s="8">
        <v>2.2200000000000002</v>
      </c>
      <c r="G67" s="12">
        <v>1</v>
      </c>
      <c r="H67" s="8">
        <v>0.28000000000000003</v>
      </c>
      <c r="I67" s="12">
        <v>0</v>
      </c>
    </row>
    <row r="68" spans="2:9" ht="15" customHeight="1" x14ac:dyDescent="0.15">
      <c r="B68" t="s">
        <v>167</v>
      </c>
      <c r="C68" s="12">
        <v>23</v>
      </c>
      <c r="D68" s="8">
        <v>1.65</v>
      </c>
      <c r="E68" s="12">
        <v>20</v>
      </c>
      <c r="F68" s="8">
        <v>1.93</v>
      </c>
      <c r="G68" s="12">
        <v>3</v>
      </c>
      <c r="H68" s="8">
        <v>0.84</v>
      </c>
      <c r="I68" s="12">
        <v>0</v>
      </c>
    </row>
    <row r="69" spans="2:9" ht="15" customHeight="1" x14ac:dyDescent="0.15">
      <c r="B69" t="s">
        <v>199</v>
      </c>
      <c r="C69" s="12">
        <v>23</v>
      </c>
      <c r="D69" s="8">
        <v>1.65</v>
      </c>
      <c r="E69" s="12">
        <v>21</v>
      </c>
      <c r="F69" s="8">
        <v>2.02</v>
      </c>
      <c r="G69" s="12">
        <v>2</v>
      </c>
      <c r="H69" s="8">
        <v>0.56000000000000005</v>
      </c>
      <c r="I69" s="12">
        <v>0</v>
      </c>
    </row>
    <row r="70" spans="2:9" ht="15" customHeight="1" x14ac:dyDescent="0.15">
      <c r="B70" t="s">
        <v>139</v>
      </c>
      <c r="C70" s="12">
        <v>23</v>
      </c>
      <c r="D70" s="8">
        <v>1.65</v>
      </c>
      <c r="E70" s="12">
        <v>20</v>
      </c>
      <c r="F70" s="8">
        <v>1.93</v>
      </c>
      <c r="G70" s="12">
        <v>3</v>
      </c>
      <c r="H70" s="8">
        <v>0.84</v>
      </c>
      <c r="I70" s="12">
        <v>0</v>
      </c>
    </row>
    <row r="71" spans="2:9" ht="15" customHeight="1" x14ac:dyDescent="0.15">
      <c r="B71" t="s">
        <v>181</v>
      </c>
      <c r="C71" s="12">
        <v>22</v>
      </c>
      <c r="D71" s="8">
        <v>1.57</v>
      </c>
      <c r="E71" s="12">
        <v>22</v>
      </c>
      <c r="F71" s="8">
        <v>2.12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135</v>
      </c>
      <c r="C72" s="12">
        <v>22</v>
      </c>
      <c r="D72" s="8">
        <v>1.57</v>
      </c>
      <c r="E72" s="12">
        <v>20</v>
      </c>
      <c r="F72" s="8">
        <v>1.93</v>
      </c>
      <c r="G72" s="12">
        <v>2</v>
      </c>
      <c r="H72" s="8">
        <v>0.56000000000000005</v>
      </c>
      <c r="I72" s="12">
        <v>0</v>
      </c>
    </row>
    <row r="74" spans="2:9" ht="15" customHeight="1" x14ac:dyDescent="0.15">
      <c r="B74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349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325</v>
      </c>
      <c r="D6" s="8">
        <v>20.52</v>
      </c>
      <c r="E6" s="12">
        <v>214</v>
      </c>
      <c r="F6" s="8">
        <v>18.43</v>
      </c>
      <c r="G6" s="12">
        <v>111</v>
      </c>
      <c r="H6" s="8">
        <v>26.24</v>
      </c>
      <c r="I6" s="12">
        <v>0</v>
      </c>
    </row>
    <row r="7" spans="2:9" ht="15" customHeight="1" x14ac:dyDescent="0.15">
      <c r="B7" t="s">
        <v>53</v>
      </c>
      <c r="C7" s="12">
        <v>406</v>
      </c>
      <c r="D7" s="8">
        <v>25.63</v>
      </c>
      <c r="E7" s="12">
        <v>299</v>
      </c>
      <c r="F7" s="8">
        <v>25.75</v>
      </c>
      <c r="G7" s="12">
        <v>107</v>
      </c>
      <c r="H7" s="8">
        <v>25.3</v>
      </c>
      <c r="I7" s="12">
        <v>0</v>
      </c>
    </row>
    <row r="8" spans="2:9" ht="15" customHeight="1" x14ac:dyDescent="0.15">
      <c r="B8" t="s">
        <v>54</v>
      </c>
      <c r="C8" s="12">
        <v>1</v>
      </c>
      <c r="D8" s="8">
        <v>0.06</v>
      </c>
      <c r="E8" s="12">
        <v>0</v>
      </c>
      <c r="F8" s="8">
        <v>0</v>
      </c>
      <c r="G8" s="12">
        <v>1</v>
      </c>
      <c r="H8" s="8">
        <v>0.24</v>
      </c>
      <c r="I8" s="12">
        <v>0</v>
      </c>
    </row>
    <row r="9" spans="2:9" ht="15" customHeight="1" x14ac:dyDescent="0.15">
      <c r="B9" t="s">
        <v>55</v>
      </c>
      <c r="C9" s="12">
        <v>5</v>
      </c>
      <c r="D9" s="8">
        <v>0.32</v>
      </c>
      <c r="E9" s="12">
        <v>1</v>
      </c>
      <c r="F9" s="8">
        <v>0.09</v>
      </c>
      <c r="G9" s="12">
        <v>4</v>
      </c>
      <c r="H9" s="8">
        <v>0.95</v>
      </c>
      <c r="I9" s="12">
        <v>0</v>
      </c>
    </row>
    <row r="10" spans="2:9" ht="15" customHeight="1" x14ac:dyDescent="0.15">
      <c r="B10" t="s">
        <v>56</v>
      </c>
      <c r="C10" s="12">
        <v>15</v>
      </c>
      <c r="D10" s="8">
        <v>0.95</v>
      </c>
      <c r="E10" s="12">
        <v>8</v>
      </c>
      <c r="F10" s="8">
        <v>0.69</v>
      </c>
      <c r="G10" s="12">
        <v>7</v>
      </c>
      <c r="H10" s="8">
        <v>1.65</v>
      </c>
      <c r="I10" s="12">
        <v>0</v>
      </c>
    </row>
    <row r="11" spans="2:9" ht="15" customHeight="1" x14ac:dyDescent="0.15">
      <c r="B11" t="s">
        <v>57</v>
      </c>
      <c r="C11" s="12">
        <v>335</v>
      </c>
      <c r="D11" s="8">
        <v>21.15</v>
      </c>
      <c r="E11" s="12">
        <v>233</v>
      </c>
      <c r="F11" s="8">
        <v>20.07</v>
      </c>
      <c r="G11" s="12">
        <v>102</v>
      </c>
      <c r="H11" s="8">
        <v>24.11</v>
      </c>
      <c r="I11" s="12">
        <v>0</v>
      </c>
    </row>
    <row r="12" spans="2:9" ht="15" customHeight="1" x14ac:dyDescent="0.15">
      <c r="B12" t="s">
        <v>58</v>
      </c>
      <c r="C12" s="12">
        <v>4</v>
      </c>
      <c r="D12" s="8">
        <v>0.25</v>
      </c>
      <c r="E12" s="12">
        <v>1</v>
      </c>
      <c r="F12" s="8">
        <v>0.09</v>
      </c>
      <c r="G12" s="12">
        <v>3</v>
      </c>
      <c r="H12" s="8">
        <v>0.71</v>
      </c>
      <c r="I12" s="12">
        <v>0</v>
      </c>
    </row>
    <row r="13" spans="2:9" ht="15" customHeight="1" x14ac:dyDescent="0.15">
      <c r="B13" t="s">
        <v>59</v>
      </c>
      <c r="C13" s="12">
        <v>53</v>
      </c>
      <c r="D13" s="8">
        <v>3.35</v>
      </c>
      <c r="E13" s="12">
        <v>41</v>
      </c>
      <c r="F13" s="8">
        <v>3.53</v>
      </c>
      <c r="G13" s="12">
        <v>12</v>
      </c>
      <c r="H13" s="8">
        <v>2.84</v>
      </c>
      <c r="I13" s="12">
        <v>0</v>
      </c>
    </row>
    <row r="14" spans="2:9" ht="15" customHeight="1" x14ac:dyDescent="0.15">
      <c r="B14" t="s">
        <v>60</v>
      </c>
      <c r="C14" s="12">
        <v>40</v>
      </c>
      <c r="D14" s="8">
        <v>2.5299999999999998</v>
      </c>
      <c r="E14" s="12">
        <v>25</v>
      </c>
      <c r="F14" s="8">
        <v>2.15</v>
      </c>
      <c r="G14" s="12">
        <v>15</v>
      </c>
      <c r="H14" s="8">
        <v>3.55</v>
      </c>
      <c r="I14" s="12">
        <v>0</v>
      </c>
    </row>
    <row r="15" spans="2:9" ht="15" customHeight="1" x14ac:dyDescent="0.15">
      <c r="B15" t="s">
        <v>61</v>
      </c>
      <c r="C15" s="12">
        <v>109</v>
      </c>
      <c r="D15" s="8">
        <v>6.88</v>
      </c>
      <c r="E15" s="12">
        <v>96</v>
      </c>
      <c r="F15" s="8">
        <v>8.27</v>
      </c>
      <c r="G15" s="12">
        <v>13</v>
      </c>
      <c r="H15" s="8">
        <v>3.07</v>
      </c>
      <c r="I15" s="12">
        <v>0</v>
      </c>
    </row>
    <row r="16" spans="2:9" ht="15" customHeight="1" x14ac:dyDescent="0.15">
      <c r="B16" t="s">
        <v>62</v>
      </c>
      <c r="C16" s="12">
        <v>149</v>
      </c>
      <c r="D16" s="8">
        <v>9.41</v>
      </c>
      <c r="E16" s="12">
        <v>134</v>
      </c>
      <c r="F16" s="8">
        <v>11.54</v>
      </c>
      <c r="G16" s="12">
        <v>15</v>
      </c>
      <c r="H16" s="8">
        <v>3.55</v>
      </c>
      <c r="I16" s="12">
        <v>0</v>
      </c>
    </row>
    <row r="17" spans="2:9" ht="15" customHeight="1" x14ac:dyDescent="0.15">
      <c r="B17" t="s">
        <v>63</v>
      </c>
      <c r="C17" s="12">
        <v>59</v>
      </c>
      <c r="D17" s="8">
        <v>3.72</v>
      </c>
      <c r="E17" s="12">
        <v>55</v>
      </c>
      <c r="F17" s="8">
        <v>4.74</v>
      </c>
      <c r="G17" s="12">
        <v>4</v>
      </c>
      <c r="H17" s="8">
        <v>0.95</v>
      </c>
      <c r="I17" s="12">
        <v>0</v>
      </c>
    </row>
    <row r="18" spans="2:9" ht="15" customHeight="1" x14ac:dyDescent="0.15">
      <c r="B18" t="s">
        <v>64</v>
      </c>
      <c r="C18" s="12">
        <v>46</v>
      </c>
      <c r="D18" s="8">
        <v>2.9</v>
      </c>
      <c r="E18" s="12">
        <v>34</v>
      </c>
      <c r="F18" s="8">
        <v>2.93</v>
      </c>
      <c r="G18" s="12">
        <v>12</v>
      </c>
      <c r="H18" s="8">
        <v>2.84</v>
      </c>
      <c r="I18" s="12">
        <v>0</v>
      </c>
    </row>
    <row r="19" spans="2:9" ht="15" customHeight="1" x14ac:dyDescent="0.15">
      <c r="B19" t="s">
        <v>65</v>
      </c>
      <c r="C19" s="12">
        <v>37</v>
      </c>
      <c r="D19" s="8">
        <v>2.34</v>
      </c>
      <c r="E19" s="12">
        <v>20</v>
      </c>
      <c r="F19" s="8">
        <v>1.72</v>
      </c>
      <c r="G19" s="12">
        <v>17</v>
      </c>
      <c r="H19" s="8">
        <v>4.0199999999999996</v>
      </c>
      <c r="I19" s="12">
        <v>0</v>
      </c>
    </row>
    <row r="20" spans="2:9" ht="15" customHeight="1" x14ac:dyDescent="0.15">
      <c r="B20" s="9" t="s">
        <v>215</v>
      </c>
      <c r="C20" s="12">
        <f>SUM(LTBL_28227[総数／事業所数])</f>
        <v>1584</v>
      </c>
      <c r="E20" s="12">
        <f>SUBTOTAL(109,LTBL_28227[個人／事業所数])</f>
        <v>1161</v>
      </c>
      <c r="G20" s="12">
        <f>SUBTOTAL(109,LTBL_28227[法人／事業所数])</f>
        <v>423</v>
      </c>
      <c r="I20" s="12">
        <f>SUBTOTAL(109,LTBL_28227[法人以外の団体／事業所数])</f>
        <v>0</v>
      </c>
    </row>
    <row r="21" spans="2:9" ht="15" customHeight="1" x14ac:dyDescent="0.15">
      <c r="E21" s="11">
        <f>LTBL_28227[[#Totals],[個人／事業所数]]/LTBL_28227[[#Totals],[総数／事業所数]]</f>
        <v>0.73295454545454541</v>
      </c>
      <c r="G21" s="11">
        <f>LTBL_28227[[#Totals],[法人／事業所数]]/LTBL_28227[[#Totals],[総数／事業所数]]</f>
        <v>0.26704545454545453</v>
      </c>
      <c r="I21" s="11">
        <f>LTBL_28227[[#Totals],[法人以外の団体／事業所数]]/LTBL_28227[[#Totals],[総数／事業所数]]</f>
        <v>0</v>
      </c>
    </row>
    <row r="23" spans="2:9" ht="33" customHeight="1" x14ac:dyDescent="0.15">
      <c r="B23" t="s">
        <v>214</v>
      </c>
      <c r="C23" s="10" t="s">
        <v>67</v>
      </c>
      <c r="D23" s="10" t="s">
        <v>350</v>
      </c>
      <c r="E23" s="10" t="s">
        <v>69</v>
      </c>
      <c r="F23" s="10" t="s">
        <v>351</v>
      </c>
      <c r="G23" s="10" t="s">
        <v>71</v>
      </c>
      <c r="H23" s="10" t="s">
        <v>223</v>
      </c>
      <c r="I23" s="10" t="s">
        <v>73</v>
      </c>
    </row>
    <row r="24" spans="2:9" ht="15" customHeight="1" x14ac:dyDescent="0.15">
      <c r="B24" t="s">
        <v>217</v>
      </c>
      <c r="C24">
        <v>7</v>
      </c>
      <c r="D24" t="s">
        <v>216</v>
      </c>
      <c r="E24">
        <v>0</v>
      </c>
      <c r="F24" t="s">
        <v>218</v>
      </c>
      <c r="G24">
        <v>7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229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107</v>
      </c>
      <c r="C29" s="12">
        <v>252</v>
      </c>
      <c r="D29" s="8">
        <v>15.91</v>
      </c>
      <c r="E29" s="12">
        <v>202</v>
      </c>
      <c r="F29" s="8">
        <v>17.399999999999999</v>
      </c>
      <c r="G29" s="12">
        <v>50</v>
      </c>
      <c r="H29" s="8">
        <v>11.82</v>
      </c>
      <c r="I29" s="12">
        <v>0</v>
      </c>
    </row>
    <row r="30" spans="2:9" ht="15" customHeight="1" x14ac:dyDescent="0.15">
      <c r="B30" t="s">
        <v>74</v>
      </c>
      <c r="C30" s="12">
        <v>159</v>
      </c>
      <c r="D30" s="8">
        <v>10.039999999999999</v>
      </c>
      <c r="E30" s="12">
        <v>86</v>
      </c>
      <c r="F30" s="8">
        <v>7.41</v>
      </c>
      <c r="G30" s="12">
        <v>73</v>
      </c>
      <c r="H30" s="8">
        <v>17.260000000000002</v>
      </c>
      <c r="I30" s="12">
        <v>0</v>
      </c>
    </row>
    <row r="31" spans="2:9" ht="15" customHeight="1" x14ac:dyDescent="0.15">
      <c r="B31" t="s">
        <v>90</v>
      </c>
      <c r="C31" s="12">
        <v>133</v>
      </c>
      <c r="D31" s="8">
        <v>8.4</v>
      </c>
      <c r="E31" s="12">
        <v>125</v>
      </c>
      <c r="F31" s="8">
        <v>10.77</v>
      </c>
      <c r="G31" s="12">
        <v>8</v>
      </c>
      <c r="H31" s="8">
        <v>1.89</v>
      </c>
      <c r="I31" s="12">
        <v>0</v>
      </c>
    </row>
    <row r="32" spans="2:9" ht="15" customHeight="1" x14ac:dyDescent="0.15">
      <c r="B32" t="s">
        <v>84</v>
      </c>
      <c r="C32" s="12">
        <v>115</v>
      </c>
      <c r="D32" s="8">
        <v>7.26</v>
      </c>
      <c r="E32" s="12">
        <v>74</v>
      </c>
      <c r="F32" s="8">
        <v>6.37</v>
      </c>
      <c r="G32" s="12">
        <v>41</v>
      </c>
      <c r="H32" s="8">
        <v>9.69</v>
      </c>
      <c r="I32" s="12">
        <v>0</v>
      </c>
    </row>
    <row r="33" spans="2:9" ht="15" customHeight="1" x14ac:dyDescent="0.15">
      <c r="B33" t="s">
        <v>75</v>
      </c>
      <c r="C33" s="12">
        <v>104</v>
      </c>
      <c r="D33" s="8">
        <v>6.57</v>
      </c>
      <c r="E33" s="12">
        <v>91</v>
      </c>
      <c r="F33" s="8">
        <v>7.84</v>
      </c>
      <c r="G33" s="12">
        <v>13</v>
      </c>
      <c r="H33" s="8">
        <v>3.07</v>
      </c>
      <c r="I33" s="12">
        <v>0</v>
      </c>
    </row>
    <row r="34" spans="2:9" ht="15" customHeight="1" x14ac:dyDescent="0.15">
      <c r="B34" t="s">
        <v>89</v>
      </c>
      <c r="C34" s="12">
        <v>97</v>
      </c>
      <c r="D34" s="8">
        <v>6.12</v>
      </c>
      <c r="E34" s="12">
        <v>90</v>
      </c>
      <c r="F34" s="8">
        <v>7.75</v>
      </c>
      <c r="G34" s="12">
        <v>7</v>
      </c>
      <c r="H34" s="8">
        <v>1.65</v>
      </c>
      <c r="I34" s="12">
        <v>0</v>
      </c>
    </row>
    <row r="35" spans="2:9" ht="15" customHeight="1" x14ac:dyDescent="0.15">
      <c r="B35" t="s">
        <v>82</v>
      </c>
      <c r="C35" s="12">
        <v>72</v>
      </c>
      <c r="D35" s="8">
        <v>4.55</v>
      </c>
      <c r="E35" s="12">
        <v>66</v>
      </c>
      <c r="F35" s="8">
        <v>5.68</v>
      </c>
      <c r="G35" s="12">
        <v>6</v>
      </c>
      <c r="H35" s="8">
        <v>1.42</v>
      </c>
      <c r="I35" s="12">
        <v>0</v>
      </c>
    </row>
    <row r="36" spans="2:9" ht="15" customHeight="1" x14ac:dyDescent="0.15">
      <c r="B36" t="s">
        <v>76</v>
      </c>
      <c r="C36" s="12">
        <v>62</v>
      </c>
      <c r="D36" s="8">
        <v>3.91</v>
      </c>
      <c r="E36" s="12">
        <v>37</v>
      </c>
      <c r="F36" s="8">
        <v>3.19</v>
      </c>
      <c r="G36" s="12">
        <v>25</v>
      </c>
      <c r="H36" s="8">
        <v>5.91</v>
      </c>
      <c r="I36" s="12">
        <v>0</v>
      </c>
    </row>
    <row r="37" spans="2:9" ht="15" customHeight="1" x14ac:dyDescent="0.15">
      <c r="B37" t="s">
        <v>92</v>
      </c>
      <c r="C37" s="12">
        <v>59</v>
      </c>
      <c r="D37" s="8">
        <v>3.72</v>
      </c>
      <c r="E37" s="12">
        <v>55</v>
      </c>
      <c r="F37" s="8">
        <v>4.74</v>
      </c>
      <c r="G37" s="12">
        <v>4</v>
      </c>
      <c r="H37" s="8">
        <v>0.95</v>
      </c>
      <c r="I37" s="12">
        <v>0</v>
      </c>
    </row>
    <row r="38" spans="2:9" ht="15" customHeight="1" x14ac:dyDescent="0.15">
      <c r="B38" t="s">
        <v>83</v>
      </c>
      <c r="C38" s="12">
        <v>47</v>
      </c>
      <c r="D38" s="8">
        <v>2.97</v>
      </c>
      <c r="E38" s="12">
        <v>32</v>
      </c>
      <c r="F38" s="8">
        <v>2.76</v>
      </c>
      <c r="G38" s="12">
        <v>15</v>
      </c>
      <c r="H38" s="8">
        <v>3.55</v>
      </c>
      <c r="I38" s="12">
        <v>0</v>
      </c>
    </row>
    <row r="39" spans="2:9" ht="15" customHeight="1" x14ac:dyDescent="0.15">
      <c r="B39" t="s">
        <v>86</v>
      </c>
      <c r="C39" s="12">
        <v>45</v>
      </c>
      <c r="D39" s="8">
        <v>2.84</v>
      </c>
      <c r="E39" s="12">
        <v>37</v>
      </c>
      <c r="F39" s="8">
        <v>3.19</v>
      </c>
      <c r="G39" s="12">
        <v>8</v>
      </c>
      <c r="H39" s="8">
        <v>1.89</v>
      </c>
      <c r="I39" s="12">
        <v>0</v>
      </c>
    </row>
    <row r="40" spans="2:9" ht="15" customHeight="1" x14ac:dyDescent="0.15">
      <c r="B40" t="s">
        <v>81</v>
      </c>
      <c r="C40" s="12">
        <v>41</v>
      </c>
      <c r="D40" s="8">
        <v>2.59</v>
      </c>
      <c r="E40" s="12">
        <v>27</v>
      </c>
      <c r="F40" s="8">
        <v>2.33</v>
      </c>
      <c r="G40" s="12">
        <v>14</v>
      </c>
      <c r="H40" s="8">
        <v>3.31</v>
      </c>
      <c r="I40" s="12">
        <v>0</v>
      </c>
    </row>
    <row r="41" spans="2:9" ht="15" customHeight="1" x14ac:dyDescent="0.15">
      <c r="B41" t="s">
        <v>93</v>
      </c>
      <c r="C41" s="12">
        <v>37</v>
      </c>
      <c r="D41" s="8">
        <v>2.34</v>
      </c>
      <c r="E41" s="12">
        <v>34</v>
      </c>
      <c r="F41" s="8">
        <v>2.93</v>
      </c>
      <c r="G41" s="12">
        <v>3</v>
      </c>
      <c r="H41" s="8">
        <v>0.71</v>
      </c>
      <c r="I41" s="12">
        <v>0</v>
      </c>
    </row>
    <row r="42" spans="2:9" ht="15" customHeight="1" x14ac:dyDescent="0.15">
      <c r="B42" t="s">
        <v>113</v>
      </c>
      <c r="C42" s="12">
        <v>26</v>
      </c>
      <c r="D42" s="8">
        <v>1.64</v>
      </c>
      <c r="E42" s="12">
        <v>12</v>
      </c>
      <c r="F42" s="8">
        <v>1.03</v>
      </c>
      <c r="G42" s="12">
        <v>14</v>
      </c>
      <c r="H42" s="8">
        <v>3.31</v>
      </c>
      <c r="I42" s="12">
        <v>0</v>
      </c>
    </row>
    <row r="43" spans="2:9" ht="15" customHeight="1" x14ac:dyDescent="0.15">
      <c r="B43" t="s">
        <v>110</v>
      </c>
      <c r="C43" s="12">
        <v>23</v>
      </c>
      <c r="D43" s="8">
        <v>1.45</v>
      </c>
      <c r="E43" s="12">
        <v>16</v>
      </c>
      <c r="F43" s="8">
        <v>1.38</v>
      </c>
      <c r="G43" s="12">
        <v>7</v>
      </c>
      <c r="H43" s="8">
        <v>1.65</v>
      </c>
      <c r="I43" s="12">
        <v>0</v>
      </c>
    </row>
    <row r="44" spans="2:9" ht="15" customHeight="1" x14ac:dyDescent="0.15">
      <c r="B44" t="s">
        <v>88</v>
      </c>
      <c r="C44" s="12">
        <v>22</v>
      </c>
      <c r="D44" s="8">
        <v>1.39</v>
      </c>
      <c r="E44" s="12">
        <v>11</v>
      </c>
      <c r="F44" s="8">
        <v>0.95</v>
      </c>
      <c r="G44" s="12">
        <v>11</v>
      </c>
      <c r="H44" s="8">
        <v>2.6</v>
      </c>
      <c r="I44" s="12">
        <v>0</v>
      </c>
    </row>
    <row r="45" spans="2:9" ht="15" customHeight="1" x14ac:dyDescent="0.15">
      <c r="B45" t="s">
        <v>119</v>
      </c>
      <c r="C45" s="12">
        <v>21</v>
      </c>
      <c r="D45" s="8">
        <v>1.33</v>
      </c>
      <c r="E45" s="12">
        <v>13</v>
      </c>
      <c r="F45" s="8">
        <v>1.1200000000000001</v>
      </c>
      <c r="G45" s="12">
        <v>8</v>
      </c>
      <c r="H45" s="8">
        <v>1.89</v>
      </c>
      <c r="I45" s="12">
        <v>0</v>
      </c>
    </row>
    <row r="46" spans="2:9" ht="15" customHeight="1" x14ac:dyDescent="0.15">
      <c r="B46" t="s">
        <v>87</v>
      </c>
      <c r="C46" s="12">
        <v>17</v>
      </c>
      <c r="D46" s="8">
        <v>1.07</v>
      </c>
      <c r="E46" s="12">
        <v>14</v>
      </c>
      <c r="F46" s="8">
        <v>1.21</v>
      </c>
      <c r="G46" s="12">
        <v>3</v>
      </c>
      <c r="H46" s="8">
        <v>0.71</v>
      </c>
      <c r="I46" s="12">
        <v>0</v>
      </c>
    </row>
    <row r="47" spans="2:9" ht="15" customHeight="1" x14ac:dyDescent="0.15">
      <c r="B47" t="s">
        <v>78</v>
      </c>
      <c r="C47" s="12">
        <v>16</v>
      </c>
      <c r="D47" s="8">
        <v>1.01</v>
      </c>
      <c r="E47" s="12">
        <v>9</v>
      </c>
      <c r="F47" s="8">
        <v>0.78</v>
      </c>
      <c r="G47" s="12">
        <v>7</v>
      </c>
      <c r="H47" s="8">
        <v>1.65</v>
      </c>
      <c r="I47" s="12">
        <v>0</v>
      </c>
    </row>
    <row r="48" spans="2:9" ht="15" customHeight="1" x14ac:dyDescent="0.15">
      <c r="B48" t="s">
        <v>97</v>
      </c>
      <c r="C48" s="12">
        <v>14</v>
      </c>
      <c r="D48" s="8">
        <v>0.88</v>
      </c>
      <c r="E48" s="12">
        <v>6</v>
      </c>
      <c r="F48" s="8">
        <v>0.52</v>
      </c>
      <c r="G48" s="12">
        <v>8</v>
      </c>
      <c r="H48" s="8">
        <v>1.89</v>
      </c>
      <c r="I48" s="12">
        <v>0</v>
      </c>
    </row>
    <row r="51" spans="2:9" ht="33" customHeight="1" x14ac:dyDescent="0.15">
      <c r="B51" t="s">
        <v>352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192</v>
      </c>
      <c r="C52" s="12">
        <v>240</v>
      </c>
      <c r="D52" s="8">
        <v>15.15</v>
      </c>
      <c r="E52" s="12">
        <v>195</v>
      </c>
      <c r="F52" s="8">
        <v>16.8</v>
      </c>
      <c r="G52" s="12">
        <v>45</v>
      </c>
      <c r="H52" s="8">
        <v>10.64</v>
      </c>
      <c r="I52" s="12">
        <v>0</v>
      </c>
    </row>
    <row r="53" spans="2:9" ht="15" customHeight="1" x14ac:dyDescent="0.15">
      <c r="B53" t="s">
        <v>125</v>
      </c>
      <c r="C53" s="12">
        <v>73</v>
      </c>
      <c r="D53" s="8">
        <v>4.6100000000000003</v>
      </c>
      <c r="E53" s="12">
        <v>29</v>
      </c>
      <c r="F53" s="8">
        <v>2.5</v>
      </c>
      <c r="G53" s="12">
        <v>44</v>
      </c>
      <c r="H53" s="8">
        <v>10.4</v>
      </c>
      <c r="I53" s="12">
        <v>0</v>
      </c>
    </row>
    <row r="54" spans="2:9" ht="15" customHeight="1" x14ac:dyDescent="0.15">
      <c r="B54" t="s">
        <v>141</v>
      </c>
      <c r="C54" s="12">
        <v>69</v>
      </c>
      <c r="D54" s="8">
        <v>4.3600000000000003</v>
      </c>
      <c r="E54" s="12">
        <v>67</v>
      </c>
      <c r="F54" s="8">
        <v>5.77</v>
      </c>
      <c r="G54" s="12">
        <v>2</v>
      </c>
      <c r="H54" s="8">
        <v>0.47</v>
      </c>
      <c r="I54" s="12">
        <v>0</v>
      </c>
    </row>
    <row r="55" spans="2:9" ht="15" customHeight="1" x14ac:dyDescent="0.15">
      <c r="B55" t="s">
        <v>167</v>
      </c>
      <c r="C55" s="12">
        <v>48</v>
      </c>
      <c r="D55" s="8">
        <v>3.03</v>
      </c>
      <c r="E55" s="12">
        <v>34</v>
      </c>
      <c r="F55" s="8">
        <v>2.93</v>
      </c>
      <c r="G55" s="12">
        <v>14</v>
      </c>
      <c r="H55" s="8">
        <v>3.31</v>
      </c>
      <c r="I55" s="12">
        <v>0</v>
      </c>
    </row>
    <row r="56" spans="2:9" ht="15" customHeight="1" x14ac:dyDescent="0.15">
      <c r="B56" t="s">
        <v>140</v>
      </c>
      <c r="C56" s="12">
        <v>44</v>
      </c>
      <c r="D56" s="8">
        <v>2.78</v>
      </c>
      <c r="E56" s="12">
        <v>44</v>
      </c>
      <c r="F56" s="8">
        <v>3.79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143</v>
      </c>
      <c r="C57" s="12">
        <v>39</v>
      </c>
      <c r="D57" s="8">
        <v>2.46</v>
      </c>
      <c r="E57" s="12">
        <v>38</v>
      </c>
      <c r="F57" s="8">
        <v>3.27</v>
      </c>
      <c r="G57" s="12">
        <v>1</v>
      </c>
      <c r="H57" s="8">
        <v>0.24</v>
      </c>
      <c r="I57" s="12">
        <v>0</v>
      </c>
    </row>
    <row r="58" spans="2:9" ht="15" customHeight="1" x14ac:dyDescent="0.15">
      <c r="B58" t="s">
        <v>127</v>
      </c>
      <c r="C58" s="12">
        <v>36</v>
      </c>
      <c r="D58" s="8">
        <v>2.27</v>
      </c>
      <c r="E58" s="12">
        <v>27</v>
      </c>
      <c r="F58" s="8">
        <v>2.33</v>
      </c>
      <c r="G58" s="12">
        <v>9</v>
      </c>
      <c r="H58" s="8">
        <v>2.13</v>
      </c>
      <c r="I58" s="12">
        <v>0</v>
      </c>
    </row>
    <row r="59" spans="2:9" ht="15" customHeight="1" x14ac:dyDescent="0.15">
      <c r="B59" t="s">
        <v>138</v>
      </c>
      <c r="C59" s="12">
        <v>31</v>
      </c>
      <c r="D59" s="8">
        <v>1.96</v>
      </c>
      <c r="E59" s="12">
        <v>31</v>
      </c>
      <c r="F59" s="8">
        <v>2.67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132</v>
      </c>
      <c r="C60" s="12">
        <v>29</v>
      </c>
      <c r="D60" s="8">
        <v>1.83</v>
      </c>
      <c r="E60" s="12">
        <v>23</v>
      </c>
      <c r="F60" s="8">
        <v>1.98</v>
      </c>
      <c r="G60" s="12">
        <v>6</v>
      </c>
      <c r="H60" s="8">
        <v>1.42</v>
      </c>
      <c r="I60" s="12">
        <v>0</v>
      </c>
    </row>
    <row r="61" spans="2:9" ht="15" customHeight="1" x14ac:dyDescent="0.15">
      <c r="B61" t="s">
        <v>134</v>
      </c>
      <c r="C61" s="12">
        <v>29</v>
      </c>
      <c r="D61" s="8">
        <v>1.83</v>
      </c>
      <c r="E61" s="12">
        <v>27</v>
      </c>
      <c r="F61" s="8">
        <v>2.33</v>
      </c>
      <c r="G61" s="12">
        <v>2</v>
      </c>
      <c r="H61" s="8">
        <v>0.47</v>
      </c>
      <c r="I61" s="12">
        <v>0</v>
      </c>
    </row>
    <row r="62" spans="2:9" ht="15" customHeight="1" x14ac:dyDescent="0.15">
      <c r="B62" t="s">
        <v>188</v>
      </c>
      <c r="C62" s="12">
        <v>28</v>
      </c>
      <c r="D62" s="8">
        <v>1.77</v>
      </c>
      <c r="E62" s="12">
        <v>25</v>
      </c>
      <c r="F62" s="8">
        <v>2.15</v>
      </c>
      <c r="G62" s="12">
        <v>3</v>
      </c>
      <c r="H62" s="8">
        <v>0.71</v>
      </c>
      <c r="I62" s="12">
        <v>0</v>
      </c>
    </row>
    <row r="63" spans="2:9" ht="15" customHeight="1" x14ac:dyDescent="0.15">
      <c r="B63" t="s">
        <v>130</v>
      </c>
      <c r="C63" s="12">
        <v>27</v>
      </c>
      <c r="D63" s="8">
        <v>1.7</v>
      </c>
      <c r="E63" s="12">
        <v>19</v>
      </c>
      <c r="F63" s="8">
        <v>1.64</v>
      </c>
      <c r="G63" s="12">
        <v>8</v>
      </c>
      <c r="H63" s="8">
        <v>1.89</v>
      </c>
      <c r="I63" s="12">
        <v>0</v>
      </c>
    </row>
    <row r="64" spans="2:9" ht="15" customHeight="1" x14ac:dyDescent="0.15">
      <c r="B64" t="s">
        <v>126</v>
      </c>
      <c r="C64" s="12">
        <v>26</v>
      </c>
      <c r="D64" s="8">
        <v>1.64</v>
      </c>
      <c r="E64" s="12">
        <v>14</v>
      </c>
      <c r="F64" s="8">
        <v>1.21</v>
      </c>
      <c r="G64" s="12">
        <v>12</v>
      </c>
      <c r="H64" s="8">
        <v>2.84</v>
      </c>
      <c r="I64" s="12">
        <v>0</v>
      </c>
    </row>
    <row r="65" spans="2:9" ht="15" customHeight="1" x14ac:dyDescent="0.15">
      <c r="B65" t="s">
        <v>181</v>
      </c>
      <c r="C65" s="12">
        <v>25</v>
      </c>
      <c r="D65" s="8">
        <v>1.58</v>
      </c>
      <c r="E65" s="12">
        <v>23</v>
      </c>
      <c r="F65" s="8">
        <v>1.98</v>
      </c>
      <c r="G65" s="12">
        <v>2</v>
      </c>
      <c r="H65" s="8">
        <v>0.47</v>
      </c>
      <c r="I65" s="12">
        <v>0</v>
      </c>
    </row>
    <row r="66" spans="2:9" ht="15" customHeight="1" x14ac:dyDescent="0.15">
      <c r="B66" t="s">
        <v>144</v>
      </c>
      <c r="C66" s="12">
        <v>24</v>
      </c>
      <c r="D66" s="8">
        <v>1.52</v>
      </c>
      <c r="E66" s="12">
        <v>23</v>
      </c>
      <c r="F66" s="8">
        <v>1.98</v>
      </c>
      <c r="G66" s="12">
        <v>1</v>
      </c>
      <c r="H66" s="8">
        <v>0.24</v>
      </c>
      <c r="I66" s="12">
        <v>0</v>
      </c>
    </row>
    <row r="67" spans="2:9" ht="15" customHeight="1" x14ac:dyDescent="0.15">
      <c r="B67" t="s">
        <v>129</v>
      </c>
      <c r="C67" s="12">
        <v>22</v>
      </c>
      <c r="D67" s="8">
        <v>1.39</v>
      </c>
      <c r="E67" s="12">
        <v>20</v>
      </c>
      <c r="F67" s="8">
        <v>1.72</v>
      </c>
      <c r="G67" s="12">
        <v>2</v>
      </c>
      <c r="H67" s="8">
        <v>0.47</v>
      </c>
      <c r="I67" s="12">
        <v>0</v>
      </c>
    </row>
    <row r="68" spans="2:9" ht="15" customHeight="1" x14ac:dyDescent="0.15">
      <c r="B68" t="s">
        <v>131</v>
      </c>
      <c r="C68" s="12">
        <v>21</v>
      </c>
      <c r="D68" s="8">
        <v>1.33</v>
      </c>
      <c r="E68" s="12">
        <v>13</v>
      </c>
      <c r="F68" s="8">
        <v>1.1200000000000001</v>
      </c>
      <c r="G68" s="12">
        <v>8</v>
      </c>
      <c r="H68" s="8">
        <v>1.89</v>
      </c>
      <c r="I68" s="12">
        <v>0</v>
      </c>
    </row>
    <row r="69" spans="2:9" ht="15" customHeight="1" x14ac:dyDescent="0.15">
      <c r="B69" t="s">
        <v>172</v>
      </c>
      <c r="C69" s="12">
        <v>20</v>
      </c>
      <c r="D69" s="8">
        <v>1.26</v>
      </c>
      <c r="E69" s="12">
        <v>8</v>
      </c>
      <c r="F69" s="8">
        <v>0.69</v>
      </c>
      <c r="G69" s="12">
        <v>12</v>
      </c>
      <c r="H69" s="8">
        <v>2.84</v>
      </c>
      <c r="I69" s="12">
        <v>0</v>
      </c>
    </row>
    <row r="70" spans="2:9" ht="15" customHeight="1" x14ac:dyDescent="0.15">
      <c r="B70" t="s">
        <v>128</v>
      </c>
      <c r="C70" s="12">
        <v>19</v>
      </c>
      <c r="D70" s="8">
        <v>1.2</v>
      </c>
      <c r="E70" s="12">
        <v>13</v>
      </c>
      <c r="F70" s="8">
        <v>1.1200000000000001</v>
      </c>
      <c r="G70" s="12">
        <v>6</v>
      </c>
      <c r="H70" s="8">
        <v>1.42</v>
      </c>
      <c r="I70" s="12">
        <v>0</v>
      </c>
    </row>
    <row r="71" spans="2:9" ht="15" customHeight="1" x14ac:dyDescent="0.15">
      <c r="B71" t="s">
        <v>160</v>
      </c>
      <c r="C71" s="12">
        <v>18</v>
      </c>
      <c r="D71" s="8">
        <v>1.1399999999999999</v>
      </c>
      <c r="E71" s="12">
        <v>8</v>
      </c>
      <c r="F71" s="8">
        <v>0.69</v>
      </c>
      <c r="G71" s="12">
        <v>10</v>
      </c>
      <c r="H71" s="8">
        <v>2.36</v>
      </c>
      <c r="I71" s="12">
        <v>0</v>
      </c>
    </row>
    <row r="72" spans="2:9" ht="15" customHeight="1" x14ac:dyDescent="0.15">
      <c r="B72" t="s">
        <v>155</v>
      </c>
      <c r="C72" s="12">
        <v>18</v>
      </c>
      <c r="D72" s="8">
        <v>1.1399999999999999</v>
      </c>
      <c r="E72" s="12">
        <v>17</v>
      </c>
      <c r="F72" s="8">
        <v>1.46</v>
      </c>
      <c r="G72" s="12">
        <v>1</v>
      </c>
      <c r="H72" s="8">
        <v>0.24</v>
      </c>
      <c r="I72" s="12">
        <v>0</v>
      </c>
    </row>
    <row r="74" spans="2:9" ht="15" customHeight="1" x14ac:dyDescent="0.15">
      <c r="B74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353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155</v>
      </c>
      <c r="D6" s="8">
        <v>15.56</v>
      </c>
      <c r="E6" s="12">
        <v>85</v>
      </c>
      <c r="F6" s="8">
        <v>14.26</v>
      </c>
      <c r="G6" s="12">
        <v>70</v>
      </c>
      <c r="H6" s="8">
        <v>17.63</v>
      </c>
      <c r="I6" s="12">
        <v>0</v>
      </c>
    </row>
    <row r="7" spans="2:9" ht="15" customHeight="1" x14ac:dyDescent="0.15">
      <c r="B7" t="s">
        <v>53</v>
      </c>
      <c r="C7" s="12">
        <v>172</v>
      </c>
      <c r="D7" s="8">
        <v>17.27</v>
      </c>
      <c r="E7" s="12">
        <v>84</v>
      </c>
      <c r="F7" s="8">
        <v>14.09</v>
      </c>
      <c r="G7" s="12">
        <v>88</v>
      </c>
      <c r="H7" s="8">
        <v>22.17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4</v>
      </c>
      <c r="D9" s="8">
        <v>0.4</v>
      </c>
      <c r="E9" s="12">
        <v>0</v>
      </c>
      <c r="F9" s="8">
        <v>0</v>
      </c>
      <c r="G9" s="12">
        <v>4</v>
      </c>
      <c r="H9" s="8">
        <v>1.01</v>
      </c>
      <c r="I9" s="12">
        <v>0</v>
      </c>
    </row>
    <row r="10" spans="2:9" ht="15" customHeight="1" x14ac:dyDescent="0.15">
      <c r="B10" t="s">
        <v>56</v>
      </c>
      <c r="C10" s="12">
        <v>11</v>
      </c>
      <c r="D10" s="8">
        <v>1.1000000000000001</v>
      </c>
      <c r="E10" s="12">
        <v>3</v>
      </c>
      <c r="F10" s="8">
        <v>0.5</v>
      </c>
      <c r="G10" s="12">
        <v>8</v>
      </c>
      <c r="H10" s="8">
        <v>2.02</v>
      </c>
      <c r="I10" s="12">
        <v>0</v>
      </c>
    </row>
    <row r="11" spans="2:9" ht="15" customHeight="1" x14ac:dyDescent="0.15">
      <c r="B11" t="s">
        <v>57</v>
      </c>
      <c r="C11" s="12">
        <v>259</v>
      </c>
      <c r="D11" s="8">
        <v>26</v>
      </c>
      <c r="E11" s="12">
        <v>144</v>
      </c>
      <c r="F11" s="8">
        <v>24.16</v>
      </c>
      <c r="G11" s="12">
        <v>115</v>
      </c>
      <c r="H11" s="8">
        <v>28.97</v>
      </c>
      <c r="I11" s="12">
        <v>0</v>
      </c>
    </row>
    <row r="12" spans="2:9" ht="15" customHeight="1" x14ac:dyDescent="0.15">
      <c r="B12" t="s">
        <v>58</v>
      </c>
      <c r="C12" s="12">
        <v>4</v>
      </c>
      <c r="D12" s="8">
        <v>0.4</v>
      </c>
      <c r="E12" s="12">
        <v>1</v>
      </c>
      <c r="F12" s="8">
        <v>0.17</v>
      </c>
      <c r="G12" s="12">
        <v>3</v>
      </c>
      <c r="H12" s="8">
        <v>0.76</v>
      </c>
      <c r="I12" s="12">
        <v>0</v>
      </c>
    </row>
    <row r="13" spans="2:9" ht="15" customHeight="1" x14ac:dyDescent="0.15">
      <c r="B13" t="s">
        <v>59</v>
      </c>
      <c r="C13" s="12">
        <v>51</v>
      </c>
      <c r="D13" s="8">
        <v>5.12</v>
      </c>
      <c r="E13" s="12">
        <v>26</v>
      </c>
      <c r="F13" s="8">
        <v>4.3600000000000003</v>
      </c>
      <c r="G13" s="12">
        <v>25</v>
      </c>
      <c r="H13" s="8">
        <v>6.3</v>
      </c>
      <c r="I13" s="12">
        <v>0</v>
      </c>
    </row>
    <row r="14" spans="2:9" ht="15" customHeight="1" x14ac:dyDescent="0.15">
      <c r="B14" t="s">
        <v>60</v>
      </c>
      <c r="C14" s="12">
        <v>41</v>
      </c>
      <c r="D14" s="8">
        <v>4.12</v>
      </c>
      <c r="E14" s="12">
        <v>26</v>
      </c>
      <c r="F14" s="8">
        <v>4.3600000000000003</v>
      </c>
      <c r="G14" s="12">
        <v>15</v>
      </c>
      <c r="H14" s="8">
        <v>3.78</v>
      </c>
      <c r="I14" s="12">
        <v>0</v>
      </c>
    </row>
    <row r="15" spans="2:9" ht="15" customHeight="1" x14ac:dyDescent="0.15">
      <c r="B15" t="s">
        <v>61</v>
      </c>
      <c r="C15" s="12">
        <v>120</v>
      </c>
      <c r="D15" s="8">
        <v>12.05</v>
      </c>
      <c r="E15" s="12">
        <v>103</v>
      </c>
      <c r="F15" s="8">
        <v>17.28</v>
      </c>
      <c r="G15" s="12">
        <v>17</v>
      </c>
      <c r="H15" s="8">
        <v>4.28</v>
      </c>
      <c r="I15" s="12">
        <v>0</v>
      </c>
    </row>
    <row r="16" spans="2:9" ht="15" customHeight="1" x14ac:dyDescent="0.15">
      <c r="B16" t="s">
        <v>62</v>
      </c>
      <c r="C16" s="12">
        <v>95</v>
      </c>
      <c r="D16" s="8">
        <v>9.5399999999999991</v>
      </c>
      <c r="E16" s="12">
        <v>72</v>
      </c>
      <c r="F16" s="8">
        <v>12.08</v>
      </c>
      <c r="G16" s="12">
        <v>23</v>
      </c>
      <c r="H16" s="8">
        <v>5.79</v>
      </c>
      <c r="I16" s="12">
        <v>0</v>
      </c>
    </row>
    <row r="17" spans="2:9" ht="15" customHeight="1" x14ac:dyDescent="0.15">
      <c r="B17" t="s">
        <v>63</v>
      </c>
      <c r="C17" s="12">
        <v>25</v>
      </c>
      <c r="D17" s="8">
        <v>2.5099999999999998</v>
      </c>
      <c r="E17" s="12">
        <v>16</v>
      </c>
      <c r="F17" s="8">
        <v>2.68</v>
      </c>
      <c r="G17" s="12">
        <v>7</v>
      </c>
      <c r="H17" s="8">
        <v>1.76</v>
      </c>
      <c r="I17" s="12">
        <v>2</v>
      </c>
    </row>
    <row r="18" spans="2:9" ht="15" customHeight="1" x14ac:dyDescent="0.15">
      <c r="B18" t="s">
        <v>64</v>
      </c>
      <c r="C18" s="12">
        <v>25</v>
      </c>
      <c r="D18" s="8">
        <v>2.5099999999999998</v>
      </c>
      <c r="E18" s="12">
        <v>19</v>
      </c>
      <c r="F18" s="8">
        <v>3.19</v>
      </c>
      <c r="G18" s="12">
        <v>6</v>
      </c>
      <c r="H18" s="8">
        <v>1.51</v>
      </c>
      <c r="I18" s="12">
        <v>0</v>
      </c>
    </row>
    <row r="19" spans="2:9" ht="15" customHeight="1" x14ac:dyDescent="0.15">
      <c r="B19" t="s">
        <v>65</v>
      </c>
      <c r="C19" s="12">
        <v>34</v>
      </c>
      <c r="D19" s="8">
        <v>3.41</v>
      </c>
      <c r="E19" s="12">
        <v>17</v>
      </c>
      <c r="F19" s="8">
        <v>2.85</v>
      </c>
      <c r="G19" s="12">
        <v>16</v>
      </c>
      <c r="H19" s="8">
        <v>4.03</v>
      </c>
      <c r="I19" s="12">
        <v>1</v>
      </c>
    </row>
    <row r="20" spans="2:9" ht="15" customHeight="1" x14ac:dyDescent="0.15">
      <c r="B20" s="9" t="s">
        <v>215</v>
      </c>
      <c r="C20" s="12">
        <f>SUM(LTBL_28228[総数／事業所数])</f>
        <v>996</v>
      </c>
      <c r="E20" s="12">
        <f>SUBTOTAL(109,LTBL_28228[個人／事業所数])</f>
        <v>596</v>
      </c>
      <c r="G20" s="12">
        <f>SUBTOTAL(109,LTBL_28228[法人／事業所数])</f>
        <v>397</v>
      </c>
      <c r="I20" s="12">
        <f>SUBTOTAL(109,LTBL_28228[法人以外の団体／事業所数])</f>
        <v>3</v>
      </c>
    </row>
    <row r="21" spans="2:9" ht="15" customHeight="1" x14ac:dyDescent="0.15">
      <c r="E21" s="11">
        <f>LTBL_28228[[#Totals],[個人／事業所数]]/LTBL_28228[[#Totals],[総数／事業所数]]</f>
        <v>0.59839357429718876</v>
      </c>
      <c r="G21" s="11">
        <f>LTBL_28228[[#Totals],[法人／事業所数]]/LTBL_28228[[#Totals],[総数／事業所数]]</f>
        <v>0.39859437751004018</v>
      </c>
      <c r="I21" s="11">
        <f>LTBL_28228[[#Totals],[法人以外の団体／事業所数]]/LTBL_28228[[#Totals],[総数／事業所数]]</f>
        <v>3.0120481927710845E-3</v>
      </c>
    </row>
    <row r="23" spans="2:9" ht="33" customHeight="1" x14ac:dyDescent="0.15">
      <c r="B23" t="s">
        <v>214</v>
      </c>
      <c r="C23" s="10" t="s">
        <v>67</v>
      </c>
      <c r="D23" s="10" t="s">
        <v>221</v>
      </c>
      <c r="E23" s="10" t="s">
        <v>69</v>
      </c>
      <c r="F23" s="10" t="s">
        <v>354</v>
      </c>
      <c r="G23" s="10" t="s">
        <v>71</v>
      </c>
      <c r="H23" s="10" t="s">
        <v>223</v>
      </c>
      <c r="I23" s="10" t="s">
        <v>73</v>
      </c>
    </row>
    <row r="24" spans="2:9" ht="15" customHeight="1" x14ac:dyDescent="0.15">
      <c r="B24" t="s">
        <v>217</v>
      </c>
      <c r="C24">
        <v>8</v>
      </c>
      <c r="D24" t="s">
        <v>216</v>
      </c>
      <c r="E24">
        <v>0</v>
      </c>
      <c r="F24" t="s">
        <v>218</v>
      </c>
      <c r="G24">
        <v>8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229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89</v>
      </c>
      <c r="C29" s="12">
        <v>107</v>
      </c>
      <c r="D29" s="8">
        <v>10.74</v>
      </c>
      <c r="E29" s="12">
        <v>97</v>
      </c>
      <c r="F29" s="8">
        <v>16.28</v>
      </c>
      <c r="G29" s="12">
        <v>10</v>
      </c>
      <c r="H29" s="8">
        <v>2.52</v>
      </c>
      <c r="I29" s="12">
        <v>0</v>
      </c>
    </row>
    <row r="30" spans="2:9" ht="15" customHeight="1" x14ac:dyDescent="0.15">
      <c r="B30" t="s">
        <v>74</v>
      </c>
      <c r="C30" s="12">
        <v>88</v>
      </c>
      <c r="D30" s="8">
        <v>8.84</v>
      </c>
      <c r="E30" s="12">
        <v>43</v>
      </c>
      <c r="F30" s="8">
        <v>7.21</v>
      </c>
      <c r="G30" s="12">
        <v>45</v>
      </c>
      <c r="H30" s="8">
        <v>11.34</v>
      </c>
      <c r="I30" s="12">
        <v>0</v>
      </c>
    </row>
    <row r="31" spans="2:9" ht="15" customHeight="1" x14ac:dyDescent="0.15">
      <c r="B31" t="s">
        <v>90</v>
      </c>
      <c r="C31" s="12">
        <v>82</v>
      </c>
      <c r="D31" s="8">
        <v>8.23</v>
      </c>
      <c r="E31" s="12">
        <v>66</v>
      </c>
      <c r="F31" s="8">
        <v>11.07</v>
      </c>
      <c r="G31" s="12">
        <v>16</v>
      </c>
      <c r="H31" s="8">
        <v>4.03</v>
      </c>
      <c r="I31" s="12">
        <v>0</v>
      </c>
    </row>
    <row r="32" spans="2:9" ht="15" customHeight="1" x14ac:dyDescent="0.15">
      <c r="B32" t="s">
        <v>84</v>
      </c>
      <c r="C32" s="12">
        <v>69</v>
      </c>
      <c r="D32" s="8">
        <v>6.93</v>
      </c>
      <c r="E32" s="12">
        <v>34</v>
      </c>
      <c r="F32" s="8">
        <v>5.7</v>
      </c>
      <c r="G32" s="12">
        <v>35</v>
      </c>
      <c r="H32" s="8">
        <v>8.82</v>
      </c>
      <c r="I32" s="12">
        <v>0</v>
      </c>
    </row>
    <row r="33" spans="2:9" ht="15" customHeight="1" x14ac:dyDescent="0.15">
      <c r="B33" t="s">
        <v>82</v>
      </c>
      <c r="C33" s="12">
        <v>50</v>
      </c>
      <c r="D33" s="8">
        <v>5.0199999999999996</v>
      </c>
      <c r="E33" s="12">
        <v>40</v>
      </c>
      <c r="F33" s="8">
        <v>6.71</v>
      </c>
      <c r="G33" s="12">
        <v>10</v>
      </c>
      <c r="H33" s="8">
        <v>2.52</v>
      </c>
      <c r="I33" s="12">
        <v>0</v>
      </c>
    </row>
    <row r="34" spans="2:9" ht="15" customHeight="1" x14ac:dyDescent="0.15">
      <c r="B34" t="s">
        <v>75</v>
      </c>
      <c r="C34" s="12">
        <v>42</v>
      </c>
      <c r="D34" s="8">
        <v>4.22</v>
      </c>
      <c r="E34" s="12">
        <v>31</v>
      </c>
      <c r="F34" s="8">
        <v>5.2</v>
      </c>
      <c r="G34" s="12">
        <v>11</v>
      </c>
      <c r="H34" s="8">
        <v>2.77</v>
      </c>
      <c r="I34" s="12">
        <v>0</v>
      </c>
    </row>
    <row r="35" spans="2:9" ht="15" customHeight="1" x14ac:dyDescent="0.15">
      <c r="B35" t="s">
        <v>83</v>
      </c>
      <c r="C35" s="12">
        <v>41</v>
      </c>
      <c r="D35" s="8">
        <v>4.12</v>
      </c>
      <c r="E35" s="12">
        <v>25</v>
      </c>
      <c r="F35" s="8">
        <v>4.1900000000000004</v>
      </c>
      <c r="G35" s="12">
        <v>16</v>
      </c>
      <c r="H35" s="8">
        <v>4.03</v>
      </c>
      <c r="I35" s="12">
        <v>0</v>
      </c>
    </row>
    <row r="36" spans="2:9" ht="15" customHeight="1" x14ac:dyDescent="0.15">
      <c r="B36" t="s">
        <v>81</v>
      </c>
      <c r="C36" s="12">
        <v>35</v>
      </c>
      <c r="D36" s="8">
        <v>3.51</v>
      </c>
      <c r="E36" s="12">
        <v>22</v>
      </c>
      <c r="F36" s="8">
        <v>3.69</v>
      </c>
      <c r="G36" s="12">
        <v>13</v>
      </c>
      <c r="H36" s="8">
        <v>3.27</v>
      </c>
      <c r="I36" s="12">
        <v>0</v>
      </c>
    </row>
    <row r="37" spans="2:9" ht="15" customHeight="1" x14ac:dyDescent="0.15">
      <c r="B37" t="s">
        <v>86</v>
      </c>
      <c r="C37" s="12">
        <v>35</v>
      </c>
      <c r="D37" s="8">
        <v>3.51</v>
      </c>
      <c r="E37" s="12">
        <v>22</v>
      </c>
      <c r="F37" s="8">
        <v>3.69</v>
      </c>
      <c r="G37" s="12">
        <v>13</v>
      </c>
      <c r="H37" s="8">
        <v>3.27</v>
      </c>
      <c r="I37" s="12">
        <v>0</v>
      </c>
    </row>
    <row r="38" spans="2:9" ht="15" customHeight="1" x14ac:dyDescent="0.15">
      <c r="B38" t="s">
        <v>112</v>
      </c>
      <c r="C38" s="12">
        <v>32</v>
      </c>
      <c r="D38" s="8">
        <v>3.21</v>
      </c>
      <c r="E38" s="12">
        <v>16</v>
      </c>
      <c r="F38" s="8">
        <v>2.68</v>
      </c>
      <c r="G38" s="12">
        <v>16</v>
      </c>
      <c r="H38" s="8">
        <v>4.03</v>
      </c>
      <c r="I38" s="12">
        <v>0</v>
      </c>
    </row>
    <row r="39" spans="2:9" ht="15" customHeight="1" x14ac:dyDescent="0.15">
      <c r="B39" t="s">
        <v>78</v>
      </c>
      <c r="C39" s="12">
        <v>26</v>
      </c>
      <c r="D39" s="8">
        <v>2.61</v>
      </c>
      <c r="E39" s="12">
        <v>6</v>
      </c>
      <c r="F39" s="8">
        <v>1.01</v>
      </c>
      <c r="G39" s="12">
        <v>20</v>
      </c>
      <c r="H39" s="8">
        <v>5.04</v>
      </c>
      <c r="I39" s="12">
        <v>0</v>
      </c>
    </row>
    <row r="40" spans="2:9" ht="15" customHeight="1" x14ac:dyDescent="0.15">
      <c r="B40" t="s">
        <v>76</v>
      </c>
      <c r="C40" s="12">
        <v>25</v>
      </c>
      <c r="D40" s="8">
        <v>2.5099999999999998</v>
      </c>
      <c r="E40" s="12">
        <v>11</v>
      </c>
      <c r="F40" s="8">
        <v>1.85</v>
      </c>
      <c r="G40" s="12">
        <v>14</v>
      </c>
      <c r="H40" s="8">
        <v>3.53</v>
      </c>
      <c r="I40" s="12">
        <v>0</v>
      </c>
    </row>
    <row r="41" spans="2:9" ht="15" customHeight="1" x14ac:dyDescent="0.15">
      <c r="B41" t="s">
        <v>92</v>
      </c>
      <c r="C41" s="12">
        <v>25</v>
      </c>
      <c r="D41" s="8">
        <v>2.5099999999999998</v>
      </c>
      <c r="E41" s="12">
        <v>16</v>
      </c>
      <c r="F41" s="8">
        <v>2.68</v>
      </c>
      <c r="G41" s="12">
        <v>7</v>
      </c>
      <c r="H41" s="8">
        <v>1.76</v>
      </c>
      <c r="I41" s="12">
        <v>2</v>
      </c>
    </row>
    <row r="42" spans="2:9" ht="15" customHeight="1" x14ac:dyDescent="0.15">
      <c r="B42" t="s">
        <v>77</v>
      </c>
      <c r="C42" s="12">
        <v>24</v>
      </c>
      <c r="D42" s="8">
        <v>2.41</v>
      </c>
      <c r="E42" s="12">
        <v>12</v>
      </c>
      <c r="F42" s="8">
        <v>2.0099999999999998</v>
      </c>
      <c r="G42" s="12">
        <v>12</v>
      </c>
      <c r="H42" s="8">
        <v>3.02</v>
      </c>
      <c r="I42" s="12">
        <v>0</v>
      </c>
    </row>
    <row r="43" spans="2:9" ht="15" customHeight="1" x14ac:dyDescent="0.15">
      <c r="B43" t="s">
        <v>87</v>
      </c>
      <c r="C43" s="12">
        <v>23</v>
      </c>
      <c r="D43" s="8">
        <v>2.31</v>
      </c>
      <c r="E43" s="12">
        <v>17</v>
      </c>
      <c r="F43" s="8">
        <v>2.85</v>
      </c>
      <c r="G43" s="12">
        <v>6</v>
      </c>
      <c r="H43" s="8">
        <v>1.51</v>
      </c>
      <c r="I43" s="12">
        <v>0</v>
      </c>
    </row>
    <row r="44" spans="2:9" ht="15" customHeight="1" x14ac:dyDescent="0.15">
      <c r="B44" t="s">
        <v>93</v>
      </c>
      <c r="C44" s="12">
        <v>21</v>
      </c>
      <c r="D44" s="8">
        <v>2.11</v>
      </c>
      <c r="E44" s="12">
        <v>19</v>
      </c>
      <c r="F44" s="8">
        <v>3.19</v>
      </c>
      <c r="G44" s="12">
        <v>2</v>
      </c>
      <c r="H44" s="8">
        <v>0.5</v>
      </c>
      <c r="I44" s="12">
        <v>0</v>
      </c>
    </row>
    <row r="45" spans="2:9" ht="15" customHeight="1" x14ac:dyDescent="0.15">
      <c r="B45" t="s">
        <v>110</v>
      </c>
      <c r="C45" s="12">
        <v>17</v>
      </c>
      <c r="D45" s="8">
        <v>1.71</v>
      </c>
      <c r="E45" s="12">
        <v>11</v>
      </c>
      <c r="F45" s="8">
        <v>1.85</v>
      </c>
      <c r="G45" s="12">
        <v>6</v>
      </c>
      <c r="H45" s="8">
        <v>1.51</v>
      </c>
      <c r="I45" s="12">
        <v>0</v>
      </c>
    </row>
    <row r="46" spans="2:9" ht="15" customHeight="1" x14ac:dyDescent="0.15">
      <c r="B46" t="s">
        <v>88</v>
      </c>
      <c r="C46" s="12">
        <v>17</v>
      </c>
      <c r="D46" s="8">
        <v>1.71</v>
      </c>
      <c r="E46" s="12">
        <v>9</v>
      </c>
      <c r="F46" s="8">
        <v>1.51</v>
      </c>
      <c r="G46" s="12">
        <v>8</v>
      </c>
      <c r="H46" s="8">
        <v>2.02</v>
      </c>
      <c r="I46" s="12">
        <v>0</v>
      </c>
    </row>
    <row r="47" spans="2:9" ht="15" customHeight="1" x14ac:dyDescent="0.15">
      <c r="B47" t="s">
        <v>106</v>
      </c>
      <c r="C47" s="12">
        <v>17</v>
      </c>
      <c r="D47" s="8">
        <v>1.71</v>
      </c>
      <c r="E47" s="12">
        <v>15</v>
      </c>
      <c r="F47" s="8">
        <v>2.52</v>
      </c>
      <c r="G47" s="12">
        <v>2</v>
      </c>
      <c r="H47" s="8">
        <v>0.5</v>
      </c>
      <c r="I47" s="12">
        <v>0</v>
      </c>
    </row>
    <row r="48" spans="2:9" ht="15" customHeight="1" x14ac:dyDescent="0.15">
      <c r="B48" t="s">
        <v>119</v>
      </c>
      <c r="C48" s="12">
        <v>14</v>
      </c>
      <c r="D48" s="8">
        <v>1.41</v>
      </c>
      <c r="E48" s="12">
        <v>10</v>
      </c>
      <c r="F48" s="8">
        <v>1.68</v>
      </c>
      <c r="G48" s="12">
        <v>4</v>
      </c>
      <c r="H48" s="8">
        <v>1.01</v>
      </c>
      <c r="I48" s="12">
        <v>0</v>
      </c>
    </row>
    <row r="49" spans="2:9" ht="15" customHeight="1" x14ac:dyDescent="0.15">
      <c r="B49" t="s">
        <v>79</v>
      </c>
      <c r="C49" s="12">
        <v>14</v>
      </c>
      <c r="D49" s="8">
        <v>1.41</v>
      </c>
      <c r="E49" s="12">
        <v>4</v>
      </c>
      <c r="F49" s="8">
        <v>0.67</v>
      </c>
      <c r="G49" s="12">
        <v>10</v>
      </c>
      <c r="H49" s="8">
        <v>2.52</v>
      </c>
      <c r="I49" s="12">
        <v>0</v>
      </c>
    </row>
    <row r="52" spans="2:9" ht="33" customHeight="1" x14ac:dyDescent="0.15">
      <c r="B52" t="s">
        <v>230</v>
      </c>
      <c r="C52" s="10" t="s">
        <v>67</v>
      </c>
      <c r="D52" s="10" t="s">
        <v>68</v>
      </c>
      <c r="E52" s="10" t="s">
        <v>69</v>
      </c>
      <c r="F52" s="10" t="s">
        <v>70</v>
      </c>
      <c r="G52" s="10" t="s">
        <v>71</v>
      </c>
      <c r="H52" s="10" t="s">
        <v>72</v>
      </c>
      <c r="I52" s="10" t="s">
        <v>73</v>
      </c>
    </row>
    <row r="53" spans="2:9" ht="15" customHeight="1" x14ac:dyDescent="0.15">
      <c r="B53" t="s">
        <v>141</v>
      </c>
      <c r="C53" s="12">
        <v>40</v>
      </c>
      <c r="D53" s="8">
        <v>4.0199999999999996</v>
      </c>
      <c r="E53" s="12">
        <v>38</v>
      </c>
      <c r="F53" s="8">
        <v>6.38</v>
      </c>
      <c r="G53" s="12">
        <v>2</v>
      </c>
      <c r="H53" s="8">
        <v>0.5</v>
      </c>
      <c r="I53" s="12">
        <v>0</v>
      </c>
    </row>
    <row r="54" spans="2:9" ht="15" customHeight="1" x14ac:dyDescent="0.15">
      <c r="B54" t="s">
        <v>125</v>
      </c>
      <c r="C54" s="12">
        <v>34</v>
      </c>
      <c r="D54" s="8">
        <v>3.41</v>
      </c>
      <c r="E54" s="12">
        <v>15</v>
      </c>
      <c r="F54" s="8">
        <v>2.52</v>
      </c>
      <c r="G54" s="12">
        <v>19</v>
      </c>
      <c r="H54" s="8">
        <v>4.79</v>
      </c>
      <c r="I54" s="12">
        <v>0</v>
      </c>
    </row>
    <row r="55" spans="2:9" ht="15" customHeight="1" x14ac:dyDescent="0.15">
      <c r="B55" t="s">
        <v>130</v>
      </c>
      <c r="C55" s="12">
        <v>29</v>
      </c>
      <c r="D55" s="8">
        <v>2.91</v>
      </c>
      <c r="E55" s="12">
        <v>16</v>
      </c>
      <c r="F55" s="8">
        <v>2.68</v>
      </c>
      <c r="G55" s="12">
        <v>13</v>
      </c>
      <c r="H55" s="8">
        <v>3.27</v>
      </c>
      <c r="I55" s="12">
        <v>0</v>
      </c>
    </row>
    <row r="56" spans="2:9" ht="15" customHeight="1" x14ac:dyDescent="0.15">
      <c r="B56" t="s">
        <v>134</v>
      </c>
      <c r="C56" s="12">
        <v>29</v>
      </c>
      <c r="D56" s="8">
        <v>2.91</v>
      </c>
      <c r="E56" s="12">
        <v>20</v>
      </c>
      <c r="F56" s="8">
        <v>3.36</v>
      </c>
      <c r="G56" s="12">
        <v>9</v>
      </c>
      <c r="H56" s="8">
        <v>2.27</v>
      </c>
      <c r="I56" s="12">
        <v>0</v>
      </c>
    </row>
    <row r="57" spans="2:9" ht="15" customHeight="1" x14ac:dyDescent="0.15">
      <c r="B57" t="s">
        <v>138</v>
      </c>
      <c r="C57" s="12">
        <v>29</v>
      </c>
      <c r="D57" s="8">
        <v>2.91</v>
      </c>
      <c r="E57" s="12">
        <v>28</v>
      </c>
      <c r="F57" s="8">
        <v>4.7</v>
      </c>
      <c r="G57" s="12">
        <v>1</v>
      </c>
      <c r="H57" s="8">
        <v>0.25</v>
      </c>
      <c r="I57" s="12">
        <v>0</v>
      </c>
    </row>
    <row r="58" spans="2:9" ht="15" customHeight="1" x14ac:dyDescent="0.15">
      <c r="B58" t="s">
        <v>140</v>
      </c>
      <c r="C58" s="12">
        <v>27</v>
      </c>
      <c r="D58" s="8">
        <v>2.71</v>
      </c>
      <c r="E58" s="12">
        <v>26</v>
      </c>
      <c r="F58" s="8">
        <v>4.3600000000000003</v>
      </c>
      <c r="G58" s="12">
        <v>1</v>
      </c>
      <c r="H58" s="8">
        <v>0.25</v>
      </c>
      <c r="I58" s="12">
        <v>0</v>
      </c>
    </row>
    <row r="59" spans="2:9" ht="15" customHeight="1" x14ac:dyDescent="0.15">
      <c r="B59" t="s">
        <v>126</v>
      </c>
      <c r="C59" s="12">
        <v>22</v>
      </c>
      <c r="D59" s="8">
        <v>2.21</v>
      </c>
      <c r="E59" s="12">
        <v>7</v>
      </c>
      <c r="F59" s="8">
        <v>1.17</v>
      </c>
      <c r="G59" s="12">
        <v>15</v>
      </c>
      <c r="H59" s="8">
        <v>3.78</v>
      </c>
      <c r="I59" s="12">
        <v>0</v>
      </c>
    </row>
    <row r="60" spans="2:9" ht="15" customHeight="1" x14ac:dyDescent="0.15">
      <c r="B60" t="s">
        <v>167</v>
      </c>
      <c r="C60" s="12">
        <v>21</v>
      </c>
      <c r="D60" s="8">
        <v>2.11</v>
      </c>
      <c r="E60" s="12">
        <v>16</v>
      </c>
      <c r="F60" s="8">
        <v>2.68</v>
      </c>
      <c r="G60" s="12">
        <v>5</v>
      </c>
      <c r="H60" s="8">
        <v>1.26</v>
      </c>
      <c r="I60" s="12">
        <v>0</v>
      </c>
    </row>
    <row r="61" spans="2:9" ht="15" customHeight="1" x14ac:dyDescent="0.15">
      <c r="B61" t="s">
        <v>176</v>
      </c>
      <c r="C61" s="12">
        <v>21</v>
      </c>
      <c r="D61" s="8">
        <v>2.11</v>
      </c>
      <c r="E61" s="12">
        <v>8</v>
      </c>
      <c r="F61" s="8">
        <v>1.34</v>
      </c>
      <c r="G61" s="12">
        <v>13</v>
      </c>
      <c r="H61" s="8">
        <v>3.27</v>
      </c>
      <c r="I61" s="12">
        <v>0</v>
      </c>
    </row>
    <row r="62" spans="2:9" ht="15" customHeight="1" x14ac:dyDescent="0.15">
      <c r="B62" t="s">
        <v>132</v>
      </c>
      <c r="C62" s="12">
        <v>21</v>
      </c>
      <c r="D62" s="8">
        <v>2.11</v>
      </c>
      <c r="E62" s="12">
        <v>13</v>
      </c>
      <c r="F62" s="8">
        <v>2.1800000000000002</v>
      </c>
      <c r="G62" s="12">
        <v>8</v>
      </c>
      <c r="H62" s="8">
        <v>2.02</v>
      </c>
      <c r="I62" s="12">
        <v>0</v>
      </c>
    </row>
    <row r="63" spans="2:9" ht="15" customHeight="1" x14ac:dyDescent="0.15">
      <c r="B63" t="s">
        <v>136</v>
      </c>
      <c r="C63" s="12">
        <v>19</v>
      </c>
      <c r="D63" s="8">
        <v>1.91</v>
      </c>
      <c r="E63" s="12">
        <v>17</v>
      </c>
      <c r="F63" s="8">
        <v>2.85</v>
      </c>
      <c r="G63" s="12">
        <v>2</v>
      </c>
      <c r="H63" s="8">
        <v>0.5</v>
      </c>
      <c r="I63" s="12">
        <v>0</v>
      </c>
    </row>
    <row r="64" spans="2:9" ht="15" customHeight="1" x14ac:dyDescent="0.15">
      <c r="B64" t="s">
        <v>171</v>
      </c>
      <c r="C64" s="12">
        <v>18</v>
      </c>
      <c r="D64" s="8">
        <v>1.81</v>
      </c>
      <c r="E64" s="12">
        <v>14</v>
      </c>
      <c r="F64" s="8">
        <v>2.35</v>
      </c>
      <c r="G64" s="12">
        <v>4</v>
      </c>
      <c r="H64" s="8">
        <v>1.01</v>
      </c>
      <c r="I64" s="12">
        <v>0</v>
      </c>
    </row>
    <row r="65" spans="2:9" ht="15" customHeight="1" x14ac:dyDescent="0.15">
      <c r="B65" t="s">
        <v>146</v>
      </c>
      <c r="C65" s="12">
        <v>17</v>
      </c>
      <c r="D65" s="8">
        <v>1.71</v>
      </c>
      <c r="E65" s="12">
        <v>14</v>
      </c>
      <c r="F65" s="8">
        <v>2.35</v>
      </c>
      <c r="G65" s="12">
        <v>3</v>
      </c>
      <c r="H65" s="8">
        <v>0.76</v>
      </c>
      <c r="I65" s="12">
        <v>0</v>
      </c>
    </row>
    <row r="66" spans="2:9" ht="15" customHeight="1" x14ac:dyDescent="0.15">
      <c r="B66" t="s">
        <v>166</v>
      </c>
      <c r="C66" s="12">
        <v>17</v>
      </c>
      <c r="D66" s="8">
        <v>1.71</v>
      </c>
      <c r="E66" s="12">
        <v>15</v>
      </c>
      <c r="F66" s="8">
        <v>2.52</v>
      </c>
      <c r="G66" s="12">
        <v>2</v>
      </c>
      <c r="H66" s="8">
        <v>0.5</v>
      </c>
      <c r="I66" s="12">
        <v>0</v>
      </c>
    </row>
    <row r="67" spans="2:9" ht="15" customHeight="1" x14ac:dyDescent="0.15">
      <c r="B67" t="s">
        <v>200</v>
      </c>
      <c r="C67" s="12">
        <v>16</v>
      </c>
      <c r="D67" s="8">
        <v>1.61</v>
      </c>
      <c r="E67" s="12">
        <v>9</v>
      </c>
      <c r="F67" s="8">
        <v>1.51</v>
      </c>
      <c r="G67" s="12">
        <v>7</v>
      </c>
      <c r="H67" s="8">
        <v>1.76</v>
      </c>
      <c r="I67" s="12">
        <v>0</v>
      </c>
    </row>
    <row r="68" spans="2:9" ht="15" customHeight="1" x14ac:dyDescent="0.15">
      <c r="B68" t="s">
        <v>127</v>
      </c>
      <c r="C68" s="12">
        <v>15</v>
      </c>
      <c r="D68" s="8">
        <v>1.51</v>
      </c>
      <c r="E68" s="12">
        <v>8</v>
      </c>
      <c r="F68" s="8">
        <v>1.34</v>
      </c>
      <c r="G68" s="12">
        <v>7</v>
      </c>
      <c r="H68" s="8">
        <v>1.76</v>
      </c>
      <c r="I68" s="12">
        <v>0</v>
      </c>
    </row>
    <row r="69" spans="2:9" ht="15" customHeight="1" x14ac:dyDescent="0.15">
      <c r="B69" t="s">
        <v>135</v>
      </c>
      <c r="C69" s="12">
        <v>15</v>
      </c>
      <c r="D69" s="8">
        <v>1.51</v>
      </c>
      <c r="E69" s="12">
        <v>15</v>
      </c>
      <c r="F69" s="8">
        <v>2.52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143</v>
      </c>
      <c r="C70" s="12">
        <v>14</v>
      </c>
      <c r="D70" s="8">
        <v>1.41</v>
      </c>
      <c r="E70" s="12">
        <v>11</v>
      </c>
      <c r="F70" s="8">
        <v>1.85</v>
      </c>
      <c r="G70" s="12">
        <v>3</v>
      </c>
      <c r="H70" s="8">
        <v>0.76</v>
      </c>
      <c r="I70" s="12">
        <v>0</v>
      </c>
    </row>
    <row r="71" spans="2:9" ht="15" customHeight="1" x14ac:dyDescent="0.15">
      <c r="B71" t="s">
        <v>195</v>
      </c>
      <c r="C71" s="12">
        <v>13</v>
      </c>
      <c r="D71" s="8">
        <v>1.31</v>
      </c>
      <c r="E71" s="12">
        <v>4</v>
      </c>
      <c r="F71" s="8">
        <v>0.67</v>
      </c>
      <c r="G71" s="12">
        <v>9</v>
      </c>
      <c r="H71" s="8">
        <v>2.27</v>
      </c>
      <c r="I71" s="12">
        <v>0</v>
      </c>
    </row>
    <row r="72" spans="2:9" ht="15" customHeight="1" x14ac:dyDescent="0.15">
      <c r="B72" t="s">
        <v>137</v>
      </c>
      <c r="C72" s="12">
        <v>13</v>
      </c>
      <c r="D72" s="8">
        <v>1.31</v>
      </c>
      <c r="E72" s="12">
        <v>12</v>
      </c>
      <c r="F72" s="8">
        <v>2.0099999999999998</v>
      </c>
      <c r="G72" s="12">
        <v>1</v>
      </c>
      <c r="H72" s="8">
        <v>0.25</v>
      </c>
      <c r="I72" s="12">
        <v>0</v>
      </c>
    </row>
    <row r="74" spans="2:9" ht="15" customHeight="1" x14ac:dyDescent="0.15">
      <c r="B74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355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307</v>
      </c>
      <c r="D6" s="8">
        <v>15.35</v>
      </c>
      <c r="E6" s="12">
        <v>157</v>
      </c>
      <c r="F6" s="8">
        <v>11.91</v>
      </c>
      <c r="G6" s="12">
        <v>150</v>
      </c>
      <c r="H6" s="8">
        <v>22.29</v>
      </c>
      <c r="I6" s="12">
        <v>0</v>
      </c>
    </row>
    <row r="7" spans="2:9" ht="15" customHeight="1" x14ac:dyDescent="0.15">
      <c r="B7" t="s">
        <v>53</v>
      </c>
      <c r="C7" s="12">
        <v>429</v>
      </c>
      <c r="D7" s="8">
        <v>21.45</v>
      </c>
      <c r="E7" s="12">
        <v>311</v>
      </c>
      <c r="F7" s="8">
        <v>23.6</v>
      </c>
      <c r="G7" s="12">
        <v>118</v>
      </c>
      <c r="H7" s="8">
        <v>17.53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7</v>
      </c>
      <c r="D9" s="8">
        <v>0.35</v>
      </c>
      <c r="E9" s="12">
        <v>1</v>
      </c>
      <c r="F9" s="8">
        <v>0.08</v>
      </c>
      <c r="G9" s="12">
        <v>6</v>
      </c>
      <c r="H9" s="8">
        <v>0.89</v>
      </c>
      <c r="I9" s="12">
        <v>0</v>
      </c>
    </row>
    <row r="10" spans="2:9" ht="15" customHeight="1" x14ac:dyDescent="0.15">
      <c r="B10" t="s">
        <v>56</v>
      </c>
      <c r="C10" s="12">
        <v>27</v>
      </c>
      <c r="D10" s="8">
        <v>1.35</v>
      </c>
      <c r="E10" s="12">
        <v>5</v>
      </c>
      <c r="F10" s="8">
        <v>0.38</v>
      </c>
      <c r="G10" s="12">
        <v>22</v>
      </c>
      <c r="H10" s="8">
        <v>3.27</v>
      </c>
      <c r="I10" s="12">
        <v>0</v>
      </c>
    </row>
    <row r="11" spans="2:9" ht="15" customHeight="1" x14ac:dyDescent="0.15">
      <c r="B11" t="s">
        <v>57</v>
      </c>
      <c r="C11" s="12">
        <v>522</v>
      </c>
      <c r="D11" s="8">
        <v>26.1</v>
      </c>
      <c r="E11" s="12">
        <v>322</v>
      </c>
      <c r="F11" s="8">
        <v>24.43</v>
      </c>
      <c r="G11" s="12">
        <v>198</v>
      </c>
      <c r="H11" s="8">
        <v>29.42</v>
      </c>
      <c r="I11" s="12">
        <v>2</v>
      </c>
    </row>
    <row r="12" spans="2:9" ht="15" customHeight="1" x14ac:dyDescent="0.15">
      <c r="B12" t="s">
        <v>58</v>
      </c>
      <c r="C12" s="12">
        <v>17</v>
      </c>
      <c r="D12" s="8">
        <v>0.85</v>
      </c>
      <c r="E12" s="12">
        <v>7</v>
      </c>
      <c r="F12" s="8">
        <v>0.53</v>
      </c>
      <c r="G12" s="12">
        <v>10</v>
      </c>
      <c r="H12" s="8">
        <v>1.49</v>
      </c>
      <c r="I12" s="12">
        <v>0</v>
      </c>
    </row>
    <row r="13" spans="2:9" ht="15" customHeight="1" x14ac:dyDescent="0.15">
      <c r="B13" t="s">
        <v>59</v>
      </c>
      <c r="C13" s="12">
        <v>97</v>
      </c>
      <c r="D13" s="8">
        <v>4.8499999999999996</v>
      </c>
      <c r="E13" s="12">
        <v>59</v>
      </c>
      <c r="F13" s="8">
        <v>4.4800000000000004</v>
      </c>
      <c r="G13" s="12">
        <v>38</v>
      </c>
      <c r="H13" s="8">
        <v>5.65</v>
      </c>
      <c r="I13" s="12">
        <v>0</v>
      </c>
    </row>
    <row r="14" spans="2:9" ht="15" customHeight="1" x14ac:dyDescent="0.15">
      <c r="B14" t="s">
        <v>60</v>
      </c>
      <c r="C14" s="12">
        <v>63</v>
      </c>
      <c r="D14" s="8">
        <v>3.15</v>
      </c>
      <c r="E14" s="12">
        <v>43</v>
      </c>
      <c r="F14" s="8">
        <v>3.26</v>
      </c>
      <c r="G14" s="12">
        <v>20</v>
      </c>
      <c r="H14" s="8">
        <v>2.97</v>
      </c>
      <c r="I14" s="12">
        <v>0</v>
      </c>
    </row>
    <row r="15" spans="2:9" ht="15" customHeight="1" x14ac:dyDescent="0.15">
      <c r="B15" t="s">
        <v>61</v>
      </c>
      <c r="C15" s="12">
        <v>134</v>
      </c>
      <c r="D15" s="8">
        <v>6.7</v>
      </c>
      <c r="E15" s="12">
        <v>115</v>
      </c>
      <c r="F15" s="8">
        <v>8.73</v>
      </c>
      <c r="G15" s="12">
        <v>19</v>
      </c>
      <c r="H15" s="8">
        <v>2.82</v>
      </c>
      <c r="I15" s="12">
        <v>0</v>
      </c>
    </row>
    <row r="16" spans="2:9" ht="15" customHeight="1" x14ac:dyDescent="0.15">
      <c r="B16" t="s">
        <v>62</v>
      </c>
      <c r="C16" s="12">
        <v>199</v>
      </c>
      <c r="D16" s="8">
        <v>9.9499999999999993</v>
      </c>
      <c r="E16" s="12">
        <v>162</v>
      </c>
      <c r="F16" s="8">
        <v>12.29</v>
      </c>
      <c r="G16" s="12">
        <v>37</v>
      </c>
      <c r="H16" s="8">
        <v>5.5</v>
      </c>
      <c r="I16" s="12">
        <v>0</v>
      </c>
    </row>
    <row r="17" spans="2:9" ht="15" customHeight="1" x14ac:dyDescent="0.15">
      <c r="B17" t="s">
        <v>63</v>
      </c>
      <c r="C17" s="12">
        <v>97</v>
      </c>
      <c r="D17" s="8">
        <v>4.8499999999999996</v>
      </c>
      <c r="E17" s="12">
        <v>80</v>
      </c>
      <c r="F17" s="8">
        <v>6.07</v>
      </c>
      <c r="G17" s="12">
        <v>16</v>
      </c>
      <c r="H17" s="8">
        <v>2.38</v>
      </c>
      <c r="I17" s="12">
        <v>1</v>
      </c>
    </row>
    <row r="18" spans="2:9" ht="15" customHeight="1" x14ac:dyDescent="0.15">
      <c r="B18" t="s">
        <v>64</v>
      </c>
      <c r="C18" s="12">
        <v>57</v>
      </c>
      <c r="D18" s="8">
        <v>2.85</v>
      </c>
      <c r="E18" s="12">
        <v>33</v>
      </c>
      <c r="F18" s="8">
        <v>2.5</v>
      </c>
      <c r="G18" s="12">
        <v>23</v>
      </c>
      <c r="H18" s="8">
        <v>3.42</v>
      </c>
      <c r="I18" s="12">
        <v>1</v>
      </c>
    </row>
    <row r="19" spans="2:9" ht="15" customHeight="1" x14ac:dyDescent="0.15">
      <c r="B19" t="s">
        <v>65</v>
      </c>
      <c r="C19" s="12">
        <v>44</v>
      </c>
      <c r="D19" s="8">
        <v>2.2000000000000002</v>
      </c>
      <c r="E19" s="12">
        <v>23</v>
      </c>
      <c r="F19" s="8">
        <v>1.75</v>
      </c>
      <c r="G19" s="12">
        <v>16</v>
      </c>
      <c r="H19" s="8">
        <v>2.38</v>
      </c>
      <c r="I19" s="12">
        <v>5</v>
      </c>
    </row>
    <row r="20" spans="2:9" ht="15" customHeight="1" x14ac:dyDescent="0.15">
      <c r="B20" s="9" t="s">
        <v>215</v>
      </c>
      <c r="C20" s="12">
        <f>SUM(LTBL_28229[総数／事業所数])</f>
        <v>2000</v>
      </c>
      <c r="E20" s="12">
        <f>SUBTOTAL(109,LTBL_28229[個人／事業所数])</f>
        <v>1318</v>
      </c>
      <c r="G20" s="12">
        <f>SUBTOTAL(109,LTBL_28229[法人／事業所数])</f>
        <v>673</v>
      </c>
      <c r="I20" s="12">
        <f>SUBTOTAL(109,LTBL_28229[法人以外の団体／事業所数])</f>
        <v>9</v>
      </c>
    </row>
    <row r="21" spans="2:9" ht="15" customHeight="1" x14ac:dyDescent="0.15">
      <c r="E21" s="11">
        <f>LTBL_28229[[#Totals],[個人／事業所数]]/LTBL_28229[[#Totals],[総数／事業所数]]</f>
        <v>0.65900000000000003</v>
      </c>
      <c r="G21" s="11">
        <f>LTBL_28229[[#Totals],[法人／事業所数]]/LTBL_28229[[#Totals],[総数／事業所数]]</f>
        <v>0.33650000000000002</v>
      </c>
      <c r="I21" s="11">
        <f>LTBL_28229[[#Totals],[法人以外の団体／事業所数]]/LTBL_28229[[#Totals],[総数／事業所数]]</f>
        <v>4.4999999999999997E-3</v>
      </c>
    </row>
    <row r="23" spans="2:9" ht="33" customHeight="1" x14ac:dyDescent="0.15">
      <c r="B23" t="s">
        <v>214</v>
      </c>
      <c r="C23" s="10" t="s">
        <v>67</v>
      </c>
      <c r="D23" s="10" t="s">
        <v>221</v>
      </c>
      <c r="E23" s="10" t="s">
        <v>69</v>
      </c>
      <c r="F23" s="10" t="s">
        <v>356</v>
      </c>
      <c r="G23" s="10" t="s">
        <v>71</v>
      </c>
      <c r="H23" s="10" t="s">
        <v>357</v>
      </c>
      <c r="I23" s="10" t="s">
        <v>73</v>
      </c>
    </row>
    <row r="24" spans="2:9" ht="15" customHeight="1" x14ac:dyDescent="0.15">
      <c r="B24" t="s">
        <v>217</v>
      </c>
      <c r="C24">
        <v>9</v>
      </c>
      <c r="D24" t="s">
        <v>216</v>
      </c>
      <c r="E24">
        <v>0</v>
      </c>
      <c r="F24" t="s">
        <v>218</v>
      </c>
      <c r="G24">
        <v>9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1</v>
      </c>
      <c r="D25" t="s">
        <v>216</v>
      </c>
      <c r="E25">
        <v>0</v>
      </c>
      <c r="F25" t="s">
        <v>218</v>
      </c>
      <c r="G25">
        <v>1</v>
      </c>
      <c r="H25" t="s">
        <v>219</v>
      </c>
      <c r="I25">
        <v>0</v>
      </c>
    </row>
    <row r="28" spans="2:9" ht="33" customHeight="1" x14ac:dyDescent="0.15">
      <c r="B28" t="s">
        <v>234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84</v>
      </c>
      <c r="C29" s="12">
        <v>171</v>
      </c>
      <c r="D29" s="8">
        <v>8.5500000000000007</v>
      </c>
      <c r="E29" s="12">
        <v>105</v>
      </c>
      <c r="F29" s="8">
        <v>7.97</v>
      </c>
      <c r="G29" s="12">
        <v>66</v>
      </c>
      <c r="H29" s="8">
        <v>9.81</v>
      </c>
      <c r="I29" s="12">
        <v>0</v>
      </c>
    </row>
    <row r="30" spans="2:9" ht="15" customHeight="1" x14ac:dyDescent="0.15">
      <c r="B30" t="s">
        <v>90</v>
      </c>
      <c r="C30" s="12">
        <v>170</v>
      </c>
      <c r="D30" s="8">
        <v>8.5</v>
      </c>
      <c r="E30" s="12">
        <v>148</v>
      </c>
      <c r="F30" s="8">
        <v>11.23</v>
      </c>
      <c r="G30" s="12">
        <v>22</v>
      </c>
      <c r="H30" s="8">
        <v>3.27</v>
      </c>
      <c r="I30" s="12">
        <v>0</v>
      </c>
    </row>
    <row r="31" spans="2:9" ht="15" customHeight="1" x14ac:dyDescent="0.15">
      <c r="B31" t="s">
        <v>74</v>
      </c>
      <c r="C31" s="12">
        <v>165</v>
      </c>
      <c r="D31" s="8">
        <v>8.25</v>
      </c>
      <c r="E31" s="12">
        <v>64</v>
      </c>
      <c r="F31" s="8">
        <v>4.8600000000000003</v>
      </c>
      <c r="G31" s="12">
        <v>101</v>
      </c>
      <c r="H31" s="8">
        <v>15.01</v>
      </c>
      <c r="I31" s="12">
        <v>0</v>
      </c>
    </row>
    <row r="32" spans="2:9" ht="15" customHeight="1" x14ac:dyDescent="0.15">
      <c r="B32" t="s">
        <v>100</v>
      </c>
      <c r="C32" s="12">
        <v>126</v>
      </c>
      <c r="D32" s="8">
        <v>6.3</v>
      </c>
      <c r="E32" s="12">
        <v>113</v>
      </c>
      <c r="F32" s="8">
        <v>8.57</v>
      </c>
      <c r="G32" s="12">
        <v>13</v>
      </c>
      <c r="H32" s="8">
        <v>1.93</v>
      </c>
      <c r="I32" s="12">
        <v>0</v>
      </c>
    </row>
    <row r="33" spans="2:9" ht="15" customHeight="1" x14ac:dyDescent="0.15">
      <c r="B33" t="s">
        <v>107</v>
      </c>
      <c r="C33" s="12">
        <v>121</v>
      </c>
      <c r="D33" s="8">
        <v>6.05</v>
      </c>
      <c r="E33" s="12">
        <v>99</v>
      </c>
      <c r="F33" s="8">
        <v>7.51</v>
      </c>
      <c r="G33" s="12">
        <v>22</v>
      </c>
      <c r="H33" s="8">
        <v>3.27</v>
      </c>
      <c r="I33" s="12">
        <v>0</v>
      </c>
    </row>
    <row r="34" spans="2:9" ht="15" customHeight="1" x14ac:dyDescent="0.15">
      <c r="B34" t="s">
        <v>89</v>
      </c>
      <c r="C34" s="12">
        <v>118</v>
      </c>
      <c r="D34" s="8">
        <v>5.9</v>
      </c>
      <c r="E34" s="12">
        <v>108</v>
      </c>
      <c r="F34" s="8">
        <v>8.19</v>
      </c>
      <c r="G34" s="12">
        <v>10</v>
      </c>
      <c r="H34" s="8">
        <v>1.49</v>
      </c>
      <c r="I34" s="12">
        <v>0</v>
      </c>
    </row>
    <row r="35" spans="2:9" ht="15" customHeight="1" x14ac:dyDescent="0.15">
      <c r="B35" t="s">
        <v>82</v>
      </c>
      <c r="C35" s="12">
        <v>111</v>
      </c>
      <c r="D35" s="8">
        <v>5.55</v>
      </c>
      <c r="E35" s="12">
        <v>85</v>
      </c>
      <c r="F35" s="8">
        <v>6.45</v>
      </c>
      <c r="G35" s="12">
        <v>24</v>
      </c>
      <c r="H35" s="8">
        <v>3.57</v>
      </c>
      <c r="I35" s="12">
        <v>2</v>
      </c>
    </row>
    <row r="36" spans="2:9" ht="15" customHeight="1" x14ac:dyDescent="0.15">
      <c r="B36" t="s">
        <v>92</v>
      </c>
      <c r="C36" s="12">
        <v>97</v>
      </c>
      <c r="D36" s="8">
        <v>4.8499999999999996</v>
      </c>
      <c r="E36" s="12">
        <v>80</v>
      </c>
      <c r="F36" s="8">
        <v>6.07</v>
      </c>
      <c r="G36" s="12">
        <v>16</v>
      </c>
      <c r="H36" s="8">
        <v>2.38</v>
      </c>
      <c r="I36" s="12">
        <v>1</v>
      </c>
    </row>
    <row r="37" spans="2:9" ht="15" customHeight="1" x14ac:dyDescent="0.15">
      <c r="B37" t="s">
        <v>75</v>
      </c>
      <c r="C37" s="12">
        <v>81</v>
      </c>
      <c r="D37" s="8">
        <v>4.05</v>
      </c>
      <c r="E37" s="12">
        <v>57</v>
      </c>
      <c r="F37" s="8">
        <v>4.32</v>
      </c>
      <c r="G37" s="12">
        <v>24</v>
      </c>
      <c r="H37" s="8">
        <v>3.57</v>
      </c>
      <c r="I37" s="12">
        <v>0</v>
      </c>
    </row>
    <row r="38" spans="2:9" ht="15" customHeight="1" x14ac:dyDescent="0.15">
      <c r="B38" t="s">
        <v>86</v>
      </c>
      <c r="C38" s="12">
        <v>77</v>
      </c>
      <c r="D38" s="8">
        <v>3.85</v>
      </c>
      <c r="E38" s="12">
        <v>52</v>
      </c>
      <c r="F38" s="8">
        <v>3.95</v>
      </c>
      <c r="G38" s="12">
        <v>25</v>
      </c>
      <c r="H38" s="8">
        <v>3.71</v>
      </c>
      <c r="I38" s="12">
        <v>0</v>
      </c>
    </row>
    <row r="39" spans="2:9" ht="15" customHeight="1" x14ac:dyDescent="0.15">
      <c r="B39" t="s">
        <v>83</v>
      </c>
      <c r="C39" s="12">
        <v>73</v>
      </c>
      <c r="D39" s="8">
        <v>3.65</v>
      </c>
      <c r="E39" s="12">
        <v>58</v>
      </c>
      <c r="F39" s="8">
        <v>4.4000000000000004</v>
      </c>
      <c r="G39" s="12">
        <v>15</v>
      </c>
      <c r="H39" s="8">
        <v>2.23</v>
      </c>
      <c r="I39" s="12">
        <v>0</v>
      </c>
    </row>
    <row r="40" spans="2:9" ht="15" customHeight="1" x14ac:dyDescent="0.15">
      <c r="B40" t="s">
        <v>76</v>
      </c>
      <c r="C40" s="12">
        <v>61</v>
      </c>
      <c r="D40" s="8">
        <v>3.05</v>
      </c>
      <c r="E40" s="12">
        <v>36</v>
      </c>
      <c r="F40" s="8">
        <v>2.73</v>
      </c>
      <c r="G40" s="12">
        <v>25</v>
      </c>
      <c r="H40" s="8">
        <v>3.71</v>
      </c>
      <c r="I40" s="12">
        <v>0</v>
      </c>
    </row>
    <row r="41" spans="2:9" ht="15" customHeight="1" x14ac:dyDescent="0.15">
      <c r="B41" t="s">
        <v>81</v>
      </c>
      <c r="C41" s="12">
        <v>58</v>
      </c>
      <c r="D41" s="8">
        <v>2.9</v>
      </c>
      <c r="E41" s="12">
        <v>34</v>
      </c>
      <c r="F41" s="8">
        <v>2.58</v>
      </c>
      <c r="G41" s="12">
        <v>24</v>
      </c>
      <c r="H41" s="8">
        <v>3.57</v>
      </c>
      <c r="I41" s="12">
        <v>0</v>
      </c>
    </row>
    <row r="42" spans="2:9" ht="15" customHeight="1" x14ac:dyDescent="0.15">
      <c r="B42" t="s">
        <v>93</v>
      </c>
      <c r="C42" s="12">
        <v>35</v>
      </c>
      <c r="D42" s="8">
        <v>1.75</v>
      </c>
      <c r="E42" s="12">
        <v>32</v>
      </c>
      <c r="F42" s="8">
        <v>2.4300000000000002</v>
      </c>
      <c r="G42" s="12">
        <v>3</v>
      </c>
      <c r="H42" s="8">
        <v>0.45</v>
      </c>
      <c r="I42" s="12">
        <v>0</v>
      </c>
    </row>
    <row r="43" spans="2:9" ht="15" customHeight="1" x14ac:dyDescent="0.15">
      <c r="B43" t="s">
        <v>77</v>
      </c>
      <c r="C43" s="12">
        <v>34</v>
      </c>
      <c r="D43" s="8">
        <v>1.7</v>
      </c>
      <c r="E43" s="12">
        <v>18</v>
      </c>
      <c r="F43" s="8">
        <v>1.37</v>
      </c>
      <c r="G43" s="12">
        <v>16</v>
      </c>
      <c r="H43" s="8">
        <v>2.38</v>
      </c>
      <c r="I43" s="12">
        <v>0</v>
      </c>
    </row>
    <row r="44" spans="2:9" ht="15" customHeight="1" x14ac:dyDescent="0.15">
      <c r="B44" t="s">
        <v>87</v>
      </c>
      <c r="C44" s="12">
        <v>33</v>
      </c>
      <c r="D44" s="8">
        <v>1.65</v>
      </c>
      <c r="E44" s="12">
        <v>26</v>
      </c>
      <c r="F44" s="8">
        <v>1.97</v>
      </c>
      <c r="G44" s="12">
        <v>7</v>
      </c>
      <c r="H44" s="8">
        <v>1.04</v>
      </c>
      <c r="I44" s="12">
        <v>0</v>
      </c>
    </row>
    <row r="45" spans="2:9" ht="15" customHeight="1" x14ac:dyDescent="0.15">
      <c r="B45" t="s">
        <v>78</v>
      </c>
      <c r="C45" s="12">
        <v>32</v>
      </c>
      <c r="D45" s="8">
        <v>1.6</v>
      </c>
      <c r="E45" s="12">
        <v>8</v>
      </c>
      <c r="F45" s="8">
        <v>0.61</v>
      </c>
      <c r="G45" s="12">
        <v>24</v>
      </c>
      <c r="H45" s="8">
        <v>3.57</v>
      </c>
      <c r="I45" s="12">
        <v>0</v>
      </c>
    </row>
    <row r="46" spans="2:9" ht="15" customHeight="1" x14ac:dyDescent="0.15">
      <c r="B46" t="s">
        <v>88</v>
      </c>
      <c r="C46" s="12">
        <v>28</v>
      </c>
      <c r="D46" s="8">
        <v>1.4</v>
      </c>
      <c r="E46" s="12">
        <v>17</v>
      </c>
      <c r="F46" s="8">
        <v>1.29</v>
      </c>
      <c r="G46" s="12">
        <v>11</v>
      </c>
      <c r="H46" s="8">
        <v>1.63</v>
      </c>
      <c r="I46" s="12">
        <v>0</v>
      </c>
    </row>
    <row r="47" spans="2:9" ht="15" customHeight="1" x14ac:dyDescent="0.15">
      <c r="B47" t="s">
        <v>96</v>
      </c>
      <c r="C47" s="12">
        <v>23</v>
      </c>
      <c r="D47" s="8">
        <v>1.1499999999999999</v>
      </c>
      <c r="E47" s="12">
        <v>10</v>
      </c>
      <c r="F47" s="8">
        <v>0.76</v>
      </c>
      <c r="G47" s="12">
        <v>13</v>
      </c>
      <c r="H47" s="8">
        <v>1.93</v>
      </c>
      <c r="I47" s="12">
        <v>0</v>
      </c>
    </row>
    <row r="48" spans="2:9" ht="15" customHeight="1" x14ac:dyDescent="0.15">
      <c r="B48" t="s">
        <v>94</v>
      </c>
      <c r="C48" s="12">
        <v>22</v>
      </c>
      <c r="D48" s="8">
        <v>1.1000000000000001</v>
      </c>
      <c r="E48" s="12">
        <v>1</v>
      </c>
      <c r="F48" s="8">
        <v>0.08</v>
      </c>
      <c r="G48" s="12">
        <v>20</v>
      </c>
      <c r="H48" s="8">
        <v>2.97</v>
      </c>
      <c r="I48" s="12">
        <v>1</v>
      </c>
    </row>
    <row r="51" spans="2:9" ht="33" customHeight="1" x14ac:dyDescent="0.15">
      <c r="B51" t="s">
        <v>244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192</v>
      </c>
      <c r="C52" s="12">
        <v>100</v>
      </c>
      <c r="D52" s="8">
        <v>5</v>
      </c>
      <c r="E52" s="12">
        <v>87</v>
      </c>
      <c r="F52" s="8">
        <v>6.6</v>
      </c>
      <c r="G52" s="12">
        <v>13</v>
      </c>
      <c r="H52" s="8">
        <v>1.93</v>
      </c>
      <c r="I52" s="12">
        <v>0</v>
      </c>
    </row>
    <row r="53" spans="2:9" ht="15" customHeight="1" x14ac:dyDescent="0.15">
      <c r="B53" t="s">
        <v>201</v>
      </c>
      <c r="C53" s="12">
        <v>98</v>
      </c>
      <c r="D53" s="8">
        <v>4.9000000000000004</v>
      </c>
      <c r="E53" s="12">
        <v>91</v>
      </c>
      <c r="F53" s="8">
        <v>6.9</v>
      </c>
      <c r="G53" s="12">
        <v>7</v>
      </c>
      <c r="H53" s="8">
        <v>1.04</v>
      </c>
      <c r="I53" s="12">
        <v>0</v>
      </c>
    </row>
    <row r="54" spans="2:9" ht="15" customHeight="1" x14ac:dyDescent="0.15">
      <c r="B54" t="s">
        <v>141</v>
      </c>
      <c r="C54" s="12">
        <v>88</v>
      </c>
      <c r="D54" s="8">
        <v>4.4000000000000004</v>
      </c>
      <c r="E54" s="12">
        <v>81</v>
      </c>
      <c r="F54" s="8">
        <v>6.15</v>
      </c>
      <c r="G54" s="12">
        <v>7</v>
      </c>
      <c r="H54" s="8">
        <v>1.04</v>
      </c>
      <c r="I54" s="12">
        <v>0</v>
      </c>
    </row>
    <row r="55" spans="2:9" ht="15" customHeight="1" x14ac:dyDescent="0.15">
      <c r="B55" t="s">
        <v>125</v>
      </c>
      <c r="C55" s="12">
        <v>81</v>
      </c>
      <c r="D55" s="8">
        <v>4.05</v>
      </c>
      <c r="E55" s="12">
        <v>27</v>
      </c>
      <c r="F55" s="8">
        <v>2.0499999999999998</v>
      </c>
      <c r="G55" s="12">
        <v>54</v>
      </c>
      <c r="H55" s="8">
        <v>8.02</v>
      </c>
      <c r="I55" s="12">
        <v>0</v>
      </c>
    </row>
    <row r="56" spans="2:9" ht="15" customHeight="1" x14ac:dyDescent="0.15">
      <c r="B56" t="s">
        <v>143</v>
      </c>
      <c r="C56" s="12">
        <v>66</v>
      </c>
      <c r="D56" s="8">
        <v>3.3</v>
      </c>
      <c r="E56" s="12">
        <v>59</v>
      </c>
      <c r="F56" s="8">
        <v>4.4800000000000004</v>
      </c>
      <c r="G56" s="12">
        <v>7</v>
      </c>
      <c r="H56" s="8">
        <v>1.04</v>
      </c>
      <c r="I56" s="12">
        <v>0</v>
      </c>
    </row>
    <row r="57" spans="2:9" ht="15" customHeight="1" x14ac:dyDescent="0.15">
      <c r="B57" t="s">
        <v>132</v>
      </c>
      <c r="C57" s="12">
        <v>58</v>
      </c>
      <c r="D57" s="8">
        <v>2.9</v>
      </c>
      <c r="E57" s="12">
        <v>51</v>
      </c>
      <c r="F57" s="8">
        <v>3.87</v>
      </c>
      <c r="G57" s="12">
        <v>7</v>
      </c>
      <c r="H57" s="8">
        <v>1.04</v>
      </c>
      <c r="I57" s="12">
        <v>0</v>
      </c>
    </row>
    <row r="58" spans="2:9" ht="15" customHeight="1" x14ac:dyDescent="0.15">
      <c r="B58" t="s">
        <v>134</v>
      </c>
      <c r="C58" s="12">
        <v>53</v>
      </c>
      <c r="D58" s="8">
        <v>2.65</v>
      </c>
      <c r="E58" s="12">
        <v>44</v>
      </c>
      <c r="F58" s="8">
        <v>3.34</v>
      </c>
      <c r="G58" s="12">
        <v>9</v>
      </c>
      <c r="H58" s="8">
        <v>1.34</v>
      </c>
      <c r="I58" s="12">
        <v>0</v>
      </c>
    </row>
    <row r="59" spans="2:9" ht="15" customHeight="1" x14ac:dyDescent="0.15">
      <c r="B59" t="s">
        <v>140</v>
      </c>
      <c r="C59" s="12">
        <v>51</v>
      </c>
      <c r="D59" s="8">
        <v>2.5499999999999998</v>
      </c>
      <c r="E59" s="12">
        <v>51</v>
      </c>
      <c r="F59" s="8">
        <v>3.87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138</v>
      </c>
      <c r="C60" s="12">
        <v>46</v>
      </c>
      <c r="D60" s="8">
        <v>2.2999999999999998</v>
      </c>
      <c r="E60" s="12">
        <v>42</v>
      </c>
      <c r="F60" s="8">
        <v>3.19</v>
      </c>
      <c r="G60" s="12">
        <v>4</v>
      </c>
      <c r="H60" s="8">
        <v>0.59</v>
      </c>
      <c r="I60" s="12">
        <v>0</v>
      </c>
    </row>
    <row r="61" spans="2:9" ht="15" customHeight="1" x14ac:dyDescent="0.15">
      <c r="B61" t="s">
        <v>130</v>
      </c>
      <c r="C61" s="12">
        <v>42</v>
      </c>
      <c r="D61" s="8">
        <v>2.1</v>
      </c>
      <c r="E61" s="12">
        <v>35</v>
      </c>
      <c r="F61" s="8">
        <v>2.66</v>
      </c>
      <c r="G61" s="12">
        <v>7</v>
      </c>
      <c r="H61" s="8">
        <v>1.04</v>
      </c>
      <c r="I61" s="12">
        <v>0</v>
      </c>
    </row>
    <row r="62" spans="2:9" ht="15" customHeight="1" x14ac:dyDescent="0.15">
      <c r="B62" t="s">
        <v>167</v>
      </c>
      <c r="C62" s="12">
        <v>38</v>
      </c>
      <c r="D62" s="8">
        <v>1.9</v>
      </c>
      <c r="E62" s="12">
        <v>23</v>
      </c>
      <c r="F62" s="8">
        <v>1.75</v>
      </c>
      <c r="G62" s="12">
        <v>15</v>
      </c>
      <c r="H62" s="8">
        <v>2.23</v>
      </c>
      <c r="I62" s="12">
        <v>0</v>
      </c>
    </row>
    <row r="63" spans="2:9" ht="15" customHeight="1" x14ac:dyDescent="0.15">
      <c r="B63" t="s">
        <v>129</v>
      </c>
      <c r="C63" s="12">
        <v>35</v>
      </c>
      <c r="D63" s="8">
        <v>1.75</v>
      </c>
      <c r="E63" s="12">
        <v>25</v>
      </c>
      <c r="F63" s="8">
        <v>1.9</v>
      </c>
      <c r="G63" s="12">
        <v>8</v>
      </c>
      <c r="H63" s="8">
        <v>1.19</v>
      </c>
      <c r="I63" s="12">
        <v>2</v>
      </c>
    </row>
    <row r="64" spans="2:9" ht="15" customHeight="1" x14ac:dyDescent="0.15">
      <c r="B64" t="s">
        <v>127</v>
      </c>
      <c r="C64" s="12">
        <v>33</v>
      </c>
      <c r="D64" s="8">
        <v>1.65</v>
      </c>
      <c r="E64" s="12">
        <v>22</v>
      </c>
      <c r="F64" s="8">
        <v>1.67</v>
      </c>
      <c r="G64" s="12">
        <v>11</v>
      </c>
      <c r="H64" s="8">
        <v>1.63</v>
      </c>
      <c r="I64" s="12">
        <v>0</v>
      </c>
    </row>
    <row r="65" spans="2:9" ht="15" customHeight="1" x14ac:dyDescent="0.15">
      <c r="B65" t="s">
        <v>131</v>
      </c>
      <c r="C65" s="12">
        <v>33</v>
      </c>
      <c r="D65" s="8">
        <v>1.65</v>
      </c>
      <c r="E65" s="12">
        <v>16</v>
      </c>
      <c r="F65" s="8">
        <v>1.21</v>
      </c>
      <c r="G65" s="12">
        <v>17</v>
      </c>
      <c r="H65" s="8">
        <v>2.5299999999999998</v>
      </c>
      <c r="I65" s="12">
        <v>0</v>
      </c>
    </row>
    <row r="66" spans="2:9" ht="15" customHeight="1" x14ac:dyDescent="0.15">
      <c r="B66" t="s">
        <v>126</v>
      </c>
      <c r="C66" s="12">
        <v>31</v>
      </c>
      <c r="D66" s="8">
        <v>1.55</v>
      </c>
      <c r="E66" s="12">
        <v>9</v>
      </c>
      <c r="F66" s="8">
        <v>0.68</v>
      </c>
      <c r="G66" s="12">
        <v>22</v>
      </c>
      <c r="H66" s="8">
        <v>3.27</v>
      </c>
      <c r="I66" s="12">
        <v>0</v>
      </c>
    </row>
    <row r="67" spans="2:9" ht="15" customHeight="1" x14ac:dyDescent="0.15">
      <c r="B67" t="s">
        <v>139</v>
      </c>
      <c r="C67" s="12">
        <v>26</v>
      </c>
      <c r="D67" s="8">
        <v>1.3</v>
      </c>
      <c r="E67" s="12">
        <v>14</v>
      </c>
      <c r="F67" s="8">
        <v>1.06</v>
      </c>
      <c r="G67" s="12">
        <v>12</v>
      </c>
      <c r="H67" s="8">
        <v>1.78</v>
      </c>
      <c r="I67" s="12">
        <v>0</v>
      </c>
    </row>
    <row r="68" spans="2:9" ht="15" customHeight="1" x14ac:dyDescent="0.15">
      <c r="B68" t="s">
        <v>142</v>
      </c>
      <c r="C68" s="12">
        <v>26</v>
      </c>
      <c r="D68" s="8">
        <v>1.3</v>
      </c>
      <c r="E68" s="12">
        <v>20</v>
      </c>
      <c r="F68" s="8">
        <v>1.52</v>
      </c>
      <c r="G68" s="12">
        <v>6</v>
      </c>
      <c r="H68" s="8">
        <v>0.89</v>
      </c>
      <c r="I68" s="12">
        <v>0</v>
      </c>
    </row>
    <row r="69" spans="2:9" ht="15" customHeight="1" x14ac:dyDescent="0.15">
      <c r="B69" t="s">
        <v>160</v>
      </c>
      <c r="C69" s="12">
        <v>25</v>
      </c>
      <c r="D69" s="8">
        <v>1.25</v>
      </c>
      <c r="E69" s="12">
        <v>14</v>
      </c>
      <c r="F69" s="8">
        <v>1.06</v>
      </c>
      <c r="G69" s="12">
        <v>11</v>
      </c>
      <c r="H69" s="8">
        <v>1.63</v>
      </c>
      <c r="I69" s="12">
        <v>0</v>
      </c>
    </row>
    <row r="70" spans="2:9" ht="15" customHeight="1" x14ac:dyDescent="0.15">
      <c r="B70" t="s">
        <v>183</v>
      </c>
      <c r="C70" s="12">
        <v>25</v>
      </c>
      <c r="D70" s="8">
        <v>1.25</v>
      </c>
      <c r="E70" s="12">
        <v>12</v>
      </c>
      <c r="F70" s="8">
        <v>0.91</v>
      </c>
      <c r="G70" s="12">
        <v>13</v>
      </c>
      <c r="H70" s="8">
        <v>1.93</v>
      </c>
      <c r="I70" s="12">
        <v>0</v>
      </c>
    </row>
    <row r="71" spans="2:9" ht="15" customHeight="1" x14ac:dyDescent="0.15">
      <c r="B71" t="s">
        <v>159</v>
      </c>
      <c r="C71" s="12">
        <v>24</v>
      </c>
      <c r="D71" s="8">
        <v>1.2</v>
      </c>
      <c r="E71" s="12">
        <v>17</v>
      </c>
      <c r="F71" s="8">
        <v>1.29</v>
      </c>
      <c r="G71" s="12">
        <v>7</v>
      </c>
      <c r="H71" s="8">
        <v>1.04</v>
      </c>
      <c r="I71" s="12">
        <v>0</v>
      </c>
    </row>
    <row r="73" spans="2:9" ht="15" customHeight="1" x14ac:dyDescent="0.15">
      <c r="B73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B2:I8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358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71</v>
      </c>
      <c r="D6" s="8">
        <v>24.91</v>
      </c>
      <c r="E6" s="12">
        <v>28</v>
      </c>
      <c r="F6" s="8">
        <v>19.72</v>
      </c>
      <c r="G6" s="12">
        <v>43</v>
      </c>
      <c r="H6" s="8">
        <v>30.07</v>
      </c>
      <c r="I6" s="12">
        <v>0</v>
      </c>
    </row>
    <row r="7" spans="2:9" ht="15" customHeight="1" x14ac:dyDescent="0.15">
      <c r="B7" t="s">
        <v>53</v>
      </c>
      <c r="C7" s="12">
        <v>18</v>
      </c>
      <c r="D7" s="8">
        <v>6.32</v>
      </c>
      <c r="E7" s="12">
        <v>7</v>
      </c>
      <c r="F7" s="8">
        <v>4.93</v>
      </c>
      <c r="G7" s="12">
        <v>11</v>
      </c>
      <c r="H7" s="8">
        <v>7.69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3</v>
      </c>
      <c r="D9" s="8">
        <v>1.05</v>
      </c>
      <c r="E9" s="12">
        <v>0</v>
      </c>
      <c r="F9" s="8">
        <v>0</v>
      </c>
      <c r="G9" s="12">
        <v>3</v>
      </c>
      <c r="H9" s="8">
        <v>2.1</v>
      </c>
      <c r="I9" s="12">
        <v>0</v>
      </c>
    </row>
    <row r="10" spans="2:9" ht="15" customHeight="1" x14ac:dyDescent="0.15">
      <c r="B10" t="s">
        <v>56</v>
      </c>
      <c r="C10" s="12">
        <v>1</v>
      </c>
      <c r="D10" s="8">
        <v>0.35</v>
      </c>
      <c r="E10" s="12">
        <v>0</v>
      </c>
      <c r="F10" s="8">
        <v>0</v>
      </c>
      <c r="G10" s="12">
        <v>1</v>
      </c>
      <c r="H10" s="8">
        <v>0.7</v>
      </c>
      <c r="I10" s="12">
        <v>0</v>
      </c>
    </row>
    <row r="11" spans="2:9" ht="15" customHeight="1" x14ac:dyDescent="0.15">
      <c r="B11" t="s">
        <v>57</v>
      </c>
      <c r="C11" s="12">
        <v>60</v>
      </c>
      <c r="D11" s="8">
        <v>21.05</v>
      </c>
      <c r="E11" s="12">
        <v>27</v>
      </c>
      <c r="F11" s="8">
        <v>19.010000000000002</v>
      </c>
      <c r="G11" s="12">
        <v>33</v>
      </c>
      <c r="H11" s="8">
        <v>23.08</v>
      </c>
      <c r="I11" s="12">
        <v>0</v>
      </c>
    </row>
    <row r="12" spans="2:9" ht="15" customHeight="1" x14ac:dyDescent="0.15">
      <c r="B12" t="s">
        <v>58</v>
      </c>
      <c r="C12" s="12">
        <v>4</v>
      </c>
      <c r="D12" s="8">
        <v>1.4</v>
      </c>
      <c r="E12" s="12">
        <v>0</v>
      </c>
      <c r="F12" s="8">
        <v>0</v>
      </c>
      <c r="G12" s="12">
        <v>4</v>
      </c>
      <c r="H12" s="8">
        <v>2.8</v>
      </c>
      <c r="I12" s="12">
        <v>0</v>
      </c>
    </row>
    <row r="13" spans="2:9" ht="15" customHeight="1" x14ac:dyDescent="0.15">
      <c r="B13" t="s">
        <v>59</v>
      </c>
      <c r="C13" s="12">
        <v>8</v>
      </c>
      <c r="D13" s="8">
        <v>2.81</v>
      </c>
      <c r="E13" s="12">
        <v>2</v>
      </c>
      <c r="F13" s="8">
        <v>1.41</v>
      </c>
      <c r="G13" s="12">
        <v>6</v>
      </c>
      <c r="H13" s="8">
        <v>4.2</v>
      </c>
      <c r="I13" s="12">
        <v>0</v>
      </c>
    </row>
    <row r="14" spans="2:9" ht="15" customHeight="1" x14ac:dyDescent="0.15">
      <c r="B14" t="s">
        <v>60</v>
      </c>
      <c r="C14" s="12">
        <v>20</v>
      </c>
      <c r="D14" s="8">
        <v>7.02</v>
      </c>
      <c r="E14" s="12">
        <v>10</v>
      </c>
      <c r="F14" s="8">
        <v>7.04</v>
      </c>
      <c r="G14" s="12">
        <v>10</v>
      </c>
      <c r="H14" s="8">
        <v>6.99</v>
      </c>
      <c r="I14" s="12">
        <v>0</v>
      </c>
    </row>
    <row r="15" spans="2:9" ht="15" customHeight="1" x14ac:dyDescent="0.15">
      <c r="B15" t="s">
        <v>61</v>
      </c>
      <c r="C15" s="12">
        <v>27</v>
      </c>
      <c r="D15" s="8">
        <v>9.4700000000000006</v>
      </c>
      <c r="E15" s="12">
        <v>23</v>
      </c>
      <c r="F15" s="8">
        <v>16.2</v>
      </c>
      <c r="G15" s="12">
        <v>4</v>
      </c>
      <c r="H15" s="8">
        <v>2.8</v>
      </c>
      <c r="I15" s="12">
        <v>0</v>
      </c>
    </row>
    <row r="16" spans="2:9" ht="15" customHeight="1" x14ac:dyDescent="0.15">
      <c r="B16" t="s">
        <v>62</v>
      </c>
      <c r="C16" s="12">
        <v>37</v>
      </c>
      <c r="D16" s="8">
        <v>12.98</v>
      </c>
      <c r="E16" s="12">
        <v>24</v>
      </c>
      <c r="F16" s="8">
        <v>16.899999999999999</v>
      </c>
      <c r="G16" s="12">
        <v>13</v>
      </c>
      <c r="H16" s="8">
        <v>9.09</v>
      </c>
      <c r="I16" s="12">
        <v>0</v>
      </c>
    </row>
    <row r="17" spans="2:9" ht="15" customHeight="1" x14ac:dyDescent="0.15">
      <c r="B17" t="s">
        <v>63</v>
      </c>
      <c r="C17" s="12">
        <v>13</v>
      </c>
      <c r="D17" s="8">
        <v>4.5599999999999996</v>
      </c>
      <c r="E17" s="12">
        <v>10</v>
      </c>
      <c r="F17" s="8">
        <v>7.04</v>
      </c>
      <c r="G17" s="12">
        <v>3</v>
      </c>
      <c r="H17" s="8">
        <v>2.1</v>
      </c>
      <c r="I17" s="12">
        <v>0</v>
      </c>
    </row>
    <row r="18" spans="2:9" ht="15" customHeight="1" x14ac:dyDescent="0.15">
      <c r="B18" t="s">
        <v>64</v>
      </c>
      <c r="C18" s="12">
        <v>11</v>
      </c>
      <c r="D18" s="8">
        <v>3.86</v>
      </c>
      <c r="E18" s="12">
        <v>6</v>
      </c>
      <c r="F18" s="8">
        <v>4.2300000000000004</v>
      </c>
      <c r="G18" s="12">
        <v>5</v>
      </c>
      <c r="H18" s="8">
        <v>3.5</v>
      </c>
      <c r="I18" s="12">
        <v>0</v>
      </c>
    </row>
    <row r="19" spans="2:9" ht="15" customHeight="1" x14ac:dyDescent="0.15">
      <c r="B19" t="s">
        <v>65</v>
      </c>
      <c r="C19" s="12">
        <v>12</v>
      </c>
      <c r="D19" s="8">
        <v>4.21</v>
      </c>
      <c r="E19" s="12">
        <v>5</v>
      </c>
      <c r="F19" s="8">
        <v>3.52</v>
      </c>
      <c r="G19" s="12">
        <v>7</v>
      </c>
      <c r="H19" s="8">
        <v>4.9000000000000004</v>
      </c>
      <c r="I19" s="12">
        <v>0</v>
      </c>
    </row>
    <row r="20" spans="2:9" ht="15" customHeight="1" x14ac:dyDescent="0.15">
      <c r="B20" s="9" t="s">
        <v>215</v>
      </c>
      <c r="C20" s="12">
        <f>SUM(LTBL_28301[総数／事業所数])</f>
        <v>285</v>
      </c>
      <c r="E20" s="12">
        <f>SUBTOTAL(109,LTBL_28301[個人／事業所数])</f>
        <v>142</v>
      </c>
      <c r="G20" s="12">
        <f>SUBTOTAL(109,LTBL_28301[法人／事業所数])</f>
        <v>143</v>
      </c>
      <c r="I20" s="12">
        <f>SUBTOTAL(109,LTBL_28301[法人以外の団体／事業所数])</f>
        <v>0</v>
      </c>
    </row>
    <row r="21" spans="2:9" ht="15" customHeight="1" x14ac:dyDescent="0.15">
      <c r="E21" s="11">
        <f>LTBL_28301[[#Totals],[個人／事業所数]]/LTBL_28301[[#Totals],[総数／事業所数]]</f>
        <v>0.49824561403508771</v>
      </c>
      <c r="G21" s="11">
        <f>LTBL_28301[[#Totals],[法人／事業所数]]/LTBL_28301[[#Totals],[総数／事業所数]]</f>
        <v>0.50175438596491229</v>
      </c>
      <c r="I21" s="11">
        <f>LTBL_28301[[#Totals],[法人以外の団体／事業所数]]/LTBL_28301[[#Totals],[総数／事業所数]]</f>
        <v>0</v>
      </c>
    </row>
    <row r="23" spans="2:9" ht="33" customHeight="1" x14ac:dyDescent="0.15">
      <c r="B23" t="s">
        <v>214</v>
      </c>
      <c r="C23" s="10" t="s">
        <v>67</v>
      </c>
      <c r="D23" s="10" t="s">
        <v>359</v>
      </c>
      <c r="E23" s="10" t="s">
        <v>69</v>
      </c>
      <c r="F23" s="10" t="s">
        <v>222</v>
      </c>
      <c r="G23" s="10" t="s">
        <v>71</v>
      </c>
      <c r="H23" s="10" t="s">
        <v>360</v>
      </c>
      <c r="I23" s="10" t="s">
        <v>73</v>
      </c>
    </row>
    <row r="24" spans="2:9" ht="15" customHeight="1" x14ac:dyDescent="0.15">
      <c r="B24" t="s">
        <v>217</v>
      </c>
      <c r="C24">
        <v>6</v>
      </c>
      <c r="D24" t="s">
        <v>216</v>
      </c>
      <c r="E24">
        <v>0</v>
      </c>
      <c r="F24" t="s">
        <v>218</v>
      </c>
      <c r="G24">
        <v>6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2</v>
      </c>
      <c r="D25" t="s">
        <v>216</v>
      </c>
      <c r="E25">
        <v>0</v>
      </c>
      <c r="F25" t="s">
        <v>218</v>
      </c>
      <c r="G25">
        <v>2</v>
      </c>
      <c r="H25" t="s">
        <v>219</v>
      </c>
      <c r="I25">
        <v>0</v>
      </c>
    </row>
    <row r="28" spans="2:9" ht="33" customHeight="1" x14ac:dyDescent="0.15">
      <c r="B28" t="s">
        <v>229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74</v>
      </c>
      <c r="C29" s="12">
        <v>31</v>
      </c>
      <c r="D29" s="8">
        <v>10.88</v>
      </c>
      <c r="E29" s="12">
        <v>7</v>
      </c>
      <c r="F29" s="8">
        <v>4.93</v>
      </c>
      <c r="G29" s="12">
        <v>24</v>
      </c>
      <c r="H29" s="8">
        <v>16.78</v>
      </c>
      <c r="I29" s="12">
        <v>0</v>
      </c>
    </row>
    <row r="30" spans="2:9" ht="15" customHeight="1" x14ac:dyDescent="0.15">
      <c r="B30" t="s">
        <v>90</v>
      </c>
      <c r="C30" s="12">
        <v>26</v>
      </c>
      <c r="D30" s="8">
        <v>9.1199999999999992</v>
      </c>
      <c r="E30" s="12">
        <v>21</v>
      </c>
      <c r="F30" s="8">
        <v>14.79</v>
      </c>
      <c r="G30" s="12">
        <v>5</v>
      </c>
      <c r="H30" s="8">
        <v>3.5</v>
      </c>
      <c r="I30" s="12">
        <v>0</v>
      </c>
    </row>
    <row r="31" spans="2:9" ht="15" customHeight="1" x14ac:dyDescent="0.15">
      <c r="B31" t="s">
        <v>89</v>
      </c>
      <c r="C31" s="12">
        <v>23</v>
      </c>
      <c r="D31" s="8">
        <v>8.07</v>
      </c>
      <c r="E31" s="12">
        <v>21</v>
      </c>
      <c r="F31" s="8">
        <v>14.79</v>
      </c>
      <c r="G31" s="12">
        <v>2</v>
      </c>
      <c r="H31" s="8">
        <v>1.4</v>
      </c>
      <c r="I31" s="12">
        <v>0</v>
      </c>
    </row>
    <row r="32" spans="2:9" ht="15" customHeight="1" x14ac:dyDescent="0.15">
      <c r="B32" t="s">
        <v>75</v>
      </c>
      <c r="C32" s="12">
        <v>22</v>
      </c>
      <c r="D32" s="8">
        <v>7.72</v>
      </c>
      <c r="E32" s="12">
        <v>11</v>
      </c>
      <c r="F32" s="8">
        <v>7.75</v>
      </c>
      <c r="G32" s="12">
        <v>11</v>
      </c>
      <c r="H32" s="8">
        <v>7.69</v>
      </c>
      <c r="I32" s="12">
        <v>0</v>
      </c>
    </row>
    <row r="33" spans="2:9" ht="15" customHeight="1" x14ac:dyDescent="0.15">
      <c r="B33" t="s">
        <v>76</v>
      </c>
      <c r="C33" s="12">
        <v>18</v>
      </c>
      <c r="D33" s="8">
        <v>6.32</v>
      </c>
      <c r="E33" s="12">
        <v>10</v>
      </c>
      <c r="F33" s="8">
        <v>7.04</v>
      </c>
      <c r="G33" s="12">
        <v>8</v>
      </c>
      <c r="H33" s="8">
        <v>5.59</v>
      </c>
      <c r="I33" s="12">
        <v>0</v>
      </c>
    </row>
    <row r="34" spans="2:9" ht="15" customHeight="1" x14ac:dyDescent="0.15">
      <c r="B34" t="s">
        <v>82</v>
      </c>
      <c r="C34" s="12">
        <v>14</v>
      </c>
      <c r="D34" s="8">
        <v>4.91</v>
      </c>
      <c r="E34" s="12">
        <v>11</v>
      </c>
      <c r="F34" s="8">
        <v>7.75</v>
      </c>
      <c r="G34" s="12">
        <v>3</v>
      </c>
      <c r="H34" s="8">
        <v>2.1</v>
      </c>
      <c r="I34" s="12">
        <v>0</v>
      </c>
    </row>
    <row r="35" spans="2:9" ht="15" customHeight="1" x14ac:dyDescent="0.15">
      <c r="B35" t="s">
        <v>84</v>
      </c>
      <c r="C35" s="12">
        <v>13</v>
      </c>
      <c r="D35" s="8">
        <v>4.5599999999999996</v>
      </c>
      <c r="E35" s="12">
        <v>7</v>
      </c>
      <c r="F35" s="8">
        <v>4.93</v>
      </c>
      <c r="G35" s="12">
        <v>6</v>
      </c>
      <c r="H35" s="8">
        <v>4.2</v>
      </c>
      <c r="I35" s="12">
        <v>0</v>
      </c>
    </row>
    <row r="36" spans="2:9" ht="15" customHeight="1" x14ac:dyDescent="0.15">
      <c r="B36" t="s">
        <v>92</v>
      </c>
      <c r="C36" s="12">
        <v>13</v>
      </c>
      <c r="D36" s="8">
        <v>4.5599999999999996</v>
      </c>
      <c r="E36" s="12">
        <v>10</v>
      </c>
      <c r="F36" s="8">
        <v>7.04</v>
      </c>
      <c r="G36" s="12">
        <v>3</v>
      </c>
      <c r="H36" s="8">
        <v>2.1</v>
      </c>
      <c r="I36" s="12">
        <v>0</v>
      </c>
    </row>
    <row r="37" spans="2:9" ht="15" customHeight="1" x14ac:dyDescent="0.15">
      <c r="B37" t="s">
        <v>87</v>
      </c>
      <c r="C37" s="12">
        <v>10</v>
      </c>
      <c r="D37" s="8">
        <v>3.51</v>
      </c>
      <c r="E37" s="12">
        <v>5</v>
      </c>
      <c r="F37" s="8">
        <v>3.52</v>
      </c>
      <c r="G37" s="12">
        <v>5</v>
      </c>
      <c r="H37" s="8">
        <v>3.5</v>
      </c>
      <c r="I37" s="12">
        <v>0</v>
      </c>
    </row>
    <row r="38" spans="2:9" ht="15" customHeight="1" x14ac:dyDescent="0.15">
      <c r="B38" t="s">
        <v>88</v>
      </c>
      <c r="C38" s="12">
        <v>10</v>
      </c>
      <c r="D38" s="8">
        <v>3.51</v>
      </c>
      <c r="E38" s="12">
        <v>5</v>
      </c>
      <c r="F38" s="8">
        <v>3.52</v>
      </c>
      <c r="G38" s="12">
        <v>5</v>
      </c>
      <c r="H38" s="8">
        <v>3.5</v>
      </c>
      <c r="I38" s="12">
        <v>0</v>
      </c>
    </row>
    <row r="39" spans="2:9" ht="15" customHeight="1" x14ac:dyDescent="0.15">
      <c r="B39" t="s">
        <v>83</v>
      </c>
      <c r="C39" s="12">
        <v>9</v>
      </c>
      <c r="D39" s="8">
        <v>3.16</v>
      </c>
      <c r="E39" s="12">
        <v>5</v>
      </c>
      <c r="F39" s="8">
        <v>3.52</v>
      </c>
      <c r="G39" s="12">
        <v>4</v>
      </c>
      <c r="H39" s="8">
        <v>2.8</v>
      </c>
      <c r="I39" s="12">
        <v>0</v>
      </c>
    </row>
    <row r="40" spans="2:9" ht="15" customHeight="1" x14ac:dyDescent="0.15">
      <c r="B40" t="s">
        <v>91</v>
      </c>
      <c r="C40" s="12">
        <v>8</v>
      </c>
      <c r="D40" s="8">
        <v>2.81</v>
      </c>
      <c r="E40" s="12">
        <v>2</v>
      </c>
      <c r="F40" s="8">
        <v>1.41</v>
      </c>
      <c r="G40" s="12">
        <v>6</v>
      </c>
      <c r="H40" s="8">
        <v>4.2</v>
      </c>
      <c r="I40" s="12">
        <v>0</v>
      </c>
    </row>
    <row r="41" spans="2:9" ht="15" customHeight="1" x14ac:dyDescent="0.15">
      <c r="B41" t="s">
        <v>93</v>
      </c>
      <c r="C41" s="12">
        <v>8</v>
      </c>
      <c r="D41" s="8">
        <v>2.81</v>
      </c>
      <c r="E41" s="12">
        <v>6</v>
      </c>
      <c r="F41" s="8">
        <v>4.2300000000000004</v>
      </c>
      <c r="G41" s="12">
        <v>2</v>
      </c>
      <c r="H41" s="8">
        <v>1.4</v>
      </c>
      <c r="I41" s="12">
        <v>0</v>
      </c>
    </row>
    <row r="42" spans="2:9" ht="15" customHeight="1" x14ac:dyDescent="0.15">
      <c r="B42" t="s">
        <v>80</v>
      </c>
      <c r="C42" s="12">
        <v>7</v>
      </c>
      <c r="D42" s="8">
        <v>2.46</v>
      </c>
      <c r="E42" s="12">
        <v>2</v>
      </c>
      <c r="F42" s="8">
        <v>1.41</v>
      </c>
      <c r="G42" s="12">
        <v>5</v>
      </c>
      <c r="H42" s="8">
        <v>3.5</v>
      </c>
      <c r="I42" s="12">
        <v>0</v>
      </c>
    </row>
    <row r="43" spans="2:9" ht="15" customHeight="1" x14ac:dyDescent="0.15">
      <c r="B43" t="s">
        <v>79</v>
      </c>
      <c r="C43" s="12">
        <v>6</v>
      </c>
      <c r="D43" s="8">
        <v>2.11</v>
      </c>
      <c r="E43" s="12">
        <v>0</v>
      </c>
      <c r="F43" s="8">
        <v>0</v>
      </c>
      <c r="G43" s="12">
        <v>6</v>
      </c>
      <c r="H43" s="8">
        <v>4.2</v>
      </c>
      <c r="I43" s="12">
        <v>0</v>
      </c>
    </row>
    <row r="44" spans="2:9" ht="15" customHeight="1" x14ac:dyDescent="0.15">
      <c r="B44" t="s">
        <v>106</v>
      </c>
      <c r="C44" s="12">
        <v>6</v>
      </c>
      <c r="D44" s="8">
        <v>2.11</v>
      </c>
      <c r="E44" s="12">
        <v>4</v>
      </c>
      <c r="F44" s="8">
        <v>2.82</v>
      </c>
      <c r="G44" s="12">
        <v>2</v>
      </c>
      <c r="H44" s="8">
        <v>1.4</v>
      </c>
      <c r="I44" s="12">
        <v>0</v>
      </c>
    </row>
    <row r="45" spans="2:9" ht="15" customHeight="1" x14ac:dyDescent="0.15">
      <c r="B45" t="s">
        <v>120</v>
      </c>
      <c r="C45" s="12">
        <v>5</v>
      </c>
      <c r="D45" s="8">
        <v>1.75</v>
      </c>
      <c r="E45" s="12">
        <v>2</v>
      </c>
      <c r="F45" s="8">
        <v>1.41</v>
      </c>
      <c r="G45" s="12">
        <v>3</v>
      </c>
      <c r="H45" s="8">
        <v>2.1</v>
      </c>
      <c r="I45" s="12">
        <v>0</v>
      </c>
    </row>
    <row r="46" spans="2:9" ht="15" customHeight="1" x14ac:dyDescent="0.15">
      <c r="B46" t="s">
        <v>78</v>
      </c>
      <c r="C46" s="12">
        <v>5</v>
      </c>
      <c r="D46" s="8">
        <v>1.75</v>
      </c>
      <c r="E46" s="12">
        <v>0</v>
      </c>
      <c r="F46" s="8">
        <v>0</v>
      </c>
      <c r="G46" s="12">
        <v>5</v>
      </c>
      <c r="H46" s="8">
        <v>3.5</v>
      </c>
      <c r="I46" s="12">
        <v>0</v>
      </c>
    </row>
    <row r="47" spans="2:9" ht="15" customHeight="1" x14ac:dyDescent="0.15">
      <c r="B47" t="s">
        <v>111</v>
      </c>
      <c r="C47" s="12">
        <v>4</v>
      </c>
      <c r="D47" s="8">
        <v>1.4</v>
      </c>
      <c r="E47" s="12">
        <v>0</v>
      </c>
      <c r="F47" s="8">
        <v>0</v>
      </c>
      <c r="G47" s="12">
        <v>4</v>
      </c>
      <c r="H47" s="8">
        <v>2.8</v>
      </c>
      <c r="I47" s="12">
        <v>0</v>
      </c>
    </row>
    <row r="48" spans="2:9" ht="15" customHeight="1" x14ac:dyDescent="0.15">
      <c r="B48" t="s">
        <v>121</v>
      </c>
      <c r="C48" s="12">
        <v>3</v>
      </c>
      <c r="D48" s="8">
        <v>1.05</v>
      </c>
      <c r="E48" s="12">
        <v>0</v>
      </c>
      <c r="F48" s="8">
        <v>0</v>
      </c>
      <c r="G48" s="12">
        <v>3</v>
      </c>
      <c r="H48" s="8">
        <v>2.1</v>
      </c>
      <c r="I48" s="12">
        <v>0</v>
      </c>
    </row>
    <row r="49" spans="2:9" ht="15" customHeight="1" x14ac:dyDescent="0.15">
      <c r="B49" t="s">
        <v>85</v>
      </c>
      <c r="C49" s="12">
        <v>3</v>
      </c>
      <c r="D49" s="8">
        <v>1.05</v>
      </c>
      <c r="E49" s="12">
        <v>1</v>
      </c>
      <c r="F49" s="8">
        <v>0.7</v>
      </c>
      <c r="G49" s="12">
        <v>2</v>
      </c>
      <c r="H49" s="8">
        <v>1.4</v>
      </c>
      <c r="I49" s="12">
        <v>0</v>
      </c>
    </row>
    <row r="50" spans="2:9" ht="15" customHeight="1" x14ac:dyDescent="0.15">
      <c r="B50" t="s">
        <v>86</v>
      </c>
      <c r="C50" s="12">
        <v>3</v>
      </c>
      <c r="D50" s="8">
        <v>1.05</v>
      </c>
      <c r="E50" s="12">
        <v>0</v>
      </c>
      <c r="F50" s="8">
        <v>0</v>
      </c>
      <c r="G50" s="12">
        <v>3</v>
      </c>
      <c r="H50" s="8">
        <v>2.1</v>
      </c>
      <c r="I50" s="12">
        <v>0</v>
      </c>
    </row>
    <row r="51" spans="2:9" ht="15" customHeight="1" x14ac:dyDescent="0.15">
      <c r="B51" t="s">
        <v>105</v>
      </c>
      <c r="C51" s="12">
        <v>3</v>
      </c>
      <c r="D51" s="8">
        <v>1.05</v>
      </c>
      <c r="E51" s="12">
        <v>1</v>
      </c>
      <c r="F51" s="8">
        <v>0.7</v>
      </c>
      <c r="G51" s="12">
        <v>2</v>
      </c>
      <c r="H51" s="8">
        <v>1.4</v>
      </c>
      <c r="I51" s="12">
        <v>0</v>
      </c>
    </row>
    <row r="52" spans="2:9" ht="15" customHeight="1" x14ac:dyDescent="0.15">
      <c r="B52" t="s">
        <v>109</v>
      </c>
      <c r="C52" s="12">
        <v>3</v>
      </c>
      <c r="D52" s="8">
        <v>1.05</v>
      </c>
      <c r="E52" s="12">
        <v>1</v>
      </c>
      <c r="F52" s="8">
        <v>0.7</v>
      </c>
      <c r="G52" s="12">
        <v>2</v>
      </c>
      <c r="H52" s="8">
        <v>1.4</v>
      </c>
      <c r="I52" s="12">
        <v>0</v>
      </c>
    </row>
    <row r="53" spans="2:9" ht="15" customHeight="1" x14ac:dyDescent="0.15">
      <c r="B53" t="s">
        <v>94</v>
      </c>
      <c r="C53" s="12">
        <v>3</v>
      </c>
      <c r="D53" s="8">
        <v>1.05</v>
      </c>
      <c r="E53" s="12">
        <v>0</v>
      </c>
      <c r="F53" s="8">
        <v>0</v>
      </c>
      <c r="G53" s="12">
        <v>3</v>
      </c>
      <c r="H53" s="8">
        <v>2.1</v>
      </c>
      <c r="I53" s="12">
        <v>0</v>
      </c>
    </row>
    <row r="56" spans="2:9" ht="33" customHeight="1" x14ac:dyDescent="0.15">
      <c r="B56" t="s">
        <v>230</v>
      </c>
      <c r="C56" s="10" t="s">
        <v>67</v>
      </c>
      <c r="D56" s="10" t="s">
        <v>68</v>
      </c>
      <c r="E56" s="10" t="s">
        <v>69</v>
      </c>
      <c r="F56" s="10" t="s">
        <v>70</v>
      </c>
      <c r="G56" s="10" t="s">
        <v>71</v>
      </c>
      <c r="H56" s="10" t="s">
        <v>72</v>
      </c>
      <c r="I56" s="10" t="s">
        <v>73</v>
      </c>
    </row>
    <row r="57" spans="2:9" ht="15" customHeight="1" x14ac:dyDescent="0.15">
      <c r="B57" t="s">
        <v>125</v>
      </c>
      <c r="C57" s="12">
        <v>17</v>
      </c>
      <c r="D57" s="8">
        <v>5.96</v>
      </c>
      <c r="E57" s="12">
        <v>3</v>
      </c>
      <c r="F57" s="8">
        <v>2.11</v>
      </c>
      <c r="G57" s="12">
        <v>14</v>
      </c>
      <c r="H57" s="8">
        <v>9.7899999999999991</v>
      </c>
      <c r="I57" s="12">
        <v>0</v>
      </c>
    </row>
    <row r="58" spans="2:9" ht="15" customHeight="1" x14ac:dyDescent="0.15">
      <c r="B58" t="s">
        <v>141</v>
      </c>
      <c r="C58" s="12">
        <v>13</v>
      </c>
      <c r="D58" s="8">
        <v>4.5599999999999996</v>
      </c>
      <c r="E58" s="12">
        <v>10</v>
      </c>
      <c r="F58" s="8">
        <v>7.04</v>
      </c>
      <c r="G58" s="12">
        <v>3</v>
      </c>
      <c r="H58" s="8">
        <v>2.1</v>
      </c>
      <c r="I58" s="12">
        <v>0</v>
      </c>
    </row>
    <row r="59" spans="2:9" ht="15" customHeight="1" x14ac:dyDescent="0.15">
      <c r="B59" t="s">
        <v>143</v>
      </c>
      <c r="C59" s="12">
        <v>9</v>
      </c>
      <c r="D59" s="8">
        <v>3.16</v>
      </c>
      <c r="E59" s="12">
        <v>8</v>
      </c>
      <c r="F59" s="8">
        <v>5.63</v>
      </c>
      <c r="G59" s="12">
        <v>1</v>
      </c>
      <c r="H59" s="8">
        <v>0.7</v>
      </c>
      <c r="I59" s="12">
        <v>0</v>
      </c>
    </row>
    <row r="60" spans="2:9" ht="15" customHeight="1" x14ac:dyDescent="0.15">
      <c r="B60" t="s">
        <v>160</v>
      </c>
      <c r="C60" s="12">
        <v>8</v>
      </c>
      <c r="D60" s="8">
        <v>2.81</v>
      </c>
      <c r="E60" s="12">
        <v>3</v>
      </c>
      <c r="F60" s="8">
        <v>2.11</v>
      </c>
      <c r="G60" s="12">
        <v>5</v>
      </c>
      <c r="H60" s="8">
        <v>3.5</v>
      </c>
      <c r="I60" s="12">
        <v>0</v>
      </c>
    </row>
    <row r="61" spans="2:9" ht="15" customHeight="1" x14ac:dyDescent="0.15">
      <c r="B61" t="s">
        <v>132</v>
      </c>
      <c r="C61" s="12">
        <v>8</v>
      </c>
      <c r="D61" s="8">
        <v>2.81</v>
      </c>
      <c r="E61" s="12">
        <v>6</v>
      </c>
      <c r="F61" s="8">
        <v>4.2300000000000004</v>
      </c>
      <c r="G61" s="12">
        <v>2</v>
      </c>
      <c r="H61" s="8">
        <v>1.4</v>
      </c>
      <c r="I61" s="12">
        <v>0</v>
      </c>
    </row>
    <row r="62" spans="2:9" ht="15" customHeight="1" x14ac:dyDescent="0.15">
      <c r="B62" t="s">
        <v>153</v>
      </c>
      <c r="C62" s="12">
        <v>7</v>
      </c>
      <c r="D62" s="8">
        <v>2.46</v>
      </c>
      <c r="E62" s="12">
        <v>2</v>
      </c>
      <c r="F62" s="8">
        <v>1.41</v>
      </c>
      <c r="G62" s="12">
        <v>5</v>
      </c>
      <c r="H62" s="8">
        <v>3.5</v>
      </c>
      <c r="I62" s="12">
        <v>0</v>
      </c>
    </row>
    <row r="63" spans="2:9" ht="15" customHeight="1" x14ac:dyDescent="0.15">
      <c r="B63" t="s">
        <v>130</v>
      </c>
      <c r="C63" s="12">
        <v>7</v>
      </c>
      <c r="D63" s="8">
        <v>2.46</v>
      </c>
      <c r="E63" s="12">
        <v>4</v>
      </c>
      <c r="F63" s="8">
        <v>2.82</v>
      </c>
      <c r="G63" s="12">
        <v>3</v>
      </c>
      <c r="H63" s="8">
        <v>2.1</v>
      </c>
      <c r="I63" s="12">
        <v>0</v>
      </c>
    </row>
    <row r="64" spans="2:9" ht="15" customHeight="1" x14ac:dyDescent="0.15">
      <c r="B64" t="s">
        <v>138</v>
      </c>
      <c r="C64" s="12">
        <v>7</v>
      </c>
      <c r="D64" s="8">
        <v>2.46</v>
      </c>
      <c r="E64" s="12">
        <v>7</v>
      </c>
      <c r="F64" s="8">
        <v>4.93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140</v>
      </c>
      <c r="C65" s="12">
        <v>7</v>
      </c>
      <c r="D65" s="8">
        <v>2.46</v>
      </c>
      <c r="E65" s="12">
        <v>7</v>
      </c>
      <c r="F65" s="8">
        <v>4.93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127</v>
      </c>
      <c r="C66" s="12">
        <v>6</v>
      </c>
      <c r="D66" s="8">
        <v>2.11</v>
      </c>
      <c r="E66" s="12">
        <v>6</v>
      </c>
      <c r="F66" s="8">
        <v>4.2300000000000004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155</v>
      </c>
      <c r="C67" s="12">
        <v>6</v>
      </c>
      <c r="D67" s="8">
        <v>2.11</v>
      </c>
      <c r="E67" s="12">
        <v>6</v>
      </c>
      <c r="F67" s="8">
        <v>4.2300000000000004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146</v>
      </c>
      <c r="C68" s="12">
        <v>6</v>
      </c>
      <c r="D68" s="8">
        <v>2.11</v>
      </c>
      <c r="E68" s="12">
        <v>3</v>
      </c>
      <c r="F68" s="8">
        <v>2.11</v>
      </c>
      <c r="G68" s="12">
        <v>3</v>
      </c>
      <c r="H68" s="8">
        <v>2.1</v>
      </c>
      <c r="I68" s="12">
        <v>0</v>
      </c>
    </row>
    <row r="69" spans="2:9" ht="15" customHeight="1" x14ac:dyDescent="0.15">
      <c r="B69" t="s">
        <v>166</v>
      </c>
      <c r="C69" s="12">
        <v>6</v>
      </c>
      <c r="D69" s="8">
        <v>2.11</v>
      </c>
      <c r="E69" s="12">
        <v>4</v>
      </c>
      <c r="F69" s="8">
        <v>2.82</v>
      </c>
      <c r="G69" s="12">
        <v>2</v>
      </c>
      <c r="H69" s="8">
        <v>1.4</v>
      </c>
      <c r="I69" s="12">
        <v>0</v>
      </c>
    </row>
    <row r="70" spans="2:9" ht="15" customHeight="1" x14ac:dyDescent="0.15">
      <c r="B70" t="s">
        <v>162</v>
      </c>
      <c r="C70" s="12">
        <v>5</v>
      </c>
      <c r="D70" s="8">
        <v>1.75</v>
      </c>
      <c r="E70" s="12">
        <v>1</v>
      </c>
      <c r="F70" s="8">
        <v>0.7</v>
      </c>
      <c r="G70" s="12">
        <v>4</v>
      </c>
      <c r="H70" s="8">
        <v>2.8</v>
      </c>
      <c r="I70" s="12">
        <v>0</v>
      </c>
    </row>
    <row r="71" spans="2:9" ht="15" customHeight="1" x14ac:dyDescent="0.15">
      <c r="B71" t="s">
        <v>203</v>
      </c>
      <c r="C71" s="12">
        <v>5</v>
      </c>
      <c r="D71" s="8">
        <v>1.75</v>
      </c>
      <c r="E71" s="12">
        <v>0</v>
      </c>
      <c r="F71" s="8">
        <v>0</v>
      </c>
      <c r="G71" s="12">
        <v>5</v>
      </c>
      <c r="H71" s="8">
        <v>3.5</v>
      </c>
      <c r="I71" s="12">
        <v>0</v>
      </c>
    </row>
    <row r="72" spans="2:9" ht="15" customHeight="1" x14ac:dyDescent="0.15">
      <c r="B72" t="s">
        <v>135</v>
      </c>
      <c r="C72" s="12">
        <v>5</v>
      </c>
      <c r="D72" s="8">
        <v>1.75</v>
      </c>
      <c r="E72" s="12">
        <v>3</v>
      </c>
      <c r="F72" s="8">
        <v>2.11</v>
      </c>
      <c r="G72" s="12">
        <v>2</v>
      </c>
      <c r="H72" s="8">
        <v>1.4</v>
      </c>
      <c r="I72" s="12">
        <v>0</v>
      </c>
    </row>
    <row r="73" spans="2:9" ht="15" customHeight="1" x14ac:dyDescent="0.15">
      <c r="B73" t="s">
        <v>126</v>
      </c>
      <c r="C73" s="12">
        <v>4</v>
      </c>
      <c r="D73" s="8">
        <v>1.4</v>
      </c>
      <c r="E73" s="12">
        <v>1</v>
      </c>
      <c r="F73" s="8">
        <v>0.7</v>
      </c>
      <c r="G73" s="12">
        <v>3</v>
      </c>
      <c r="H73" s="8">
        <v>2.1</v>
      </c>
      <c r="I73" s="12">
        <v>0</v>
      </c>
    </row>
    <row r="74" spans="2:9" ht="15" customHeight="1" x14ac:dyDescent="0.15">
      <c r="B74" t="s">
        <v>181</v>
      </c>
      <c r="C74" s="12">
        <v>4</v>
      </c>
      <c r="D74" s="8">
        <v>1.4</v>
      </c>
      <c r="E74" s="12">
        <v>0</v>
      </c>
      <c r="F74" s="8">
        <v>0</v>
      </c>
      <c r="G74" s="12">
        <v>4</v>
      </c>
      <c r="H74" s="8">
        <v>2.8</v>
      </c>
      <c r="I74" s="12">
        <v>0</v>
      </c>
    </row>
    <row r="75" spans="2:9" ht="15" customHeight="1" x14ac:dyDescent="0.15">
      <c r="B75" t="s">
        <v>190</v>
      </c>
      <c r="C75" s="12">
        <v>4</v>
      </c>
      <c r="D75" s="8">
        <v>1.4</v>
      </c>
      <c r="E75" s="12">
        <v>2</v>
      </c>
      <c r="F75" s="8">
        <v>1.41</v>
      </c>
      <c r="G75" s="12">
        <v>2</v>
      </c>
      <c r="H75" s="8">
        <v>1.4</v>
      </c>
      <c r="I75" s="12">
        <v>0</v>
      </c>
    </row>
    <row r="76" spans="2:9" ht="15" customHeight="1" x14ac:dyDescent="0.15">
      <c r="B76" t="s">
        <v>202</v>
      </c>
      <c r="C76" s="12">
        <v>4</v>
      </c>
      <c r="D76" s="8">
        <v>1.4</v>
      </c>
      <c r="E76" s="12">
        <v>0</v>
      </c>
      <c r="F76" s="8">
        <v>0</v>
      </c>
      <c r="G76" s="12">
        <v>4</v>
      </c>
      <c r="H76" s="8">
        <v>2.8</v>
      </c>
      <c r="I76" s="12">
        <v>0</v>
      </c>
    </row>
    <row r="77" spans="2:9" ht="15" customHeight="1" x14ac:dyDescent="0.15">
      <c r="B77" t="s">
        <v>150</v>
      </c>
      <c r="C77" s="12">
        <v>4</v>
      </c>
      <c r="D77" s="8">
        <v>1.4</v>
      </c>
      <c r="E77" s="12">
        <v>1</v>
      </c>
      <c r="F77" s="8">
        <v>0.7</v>
      </c>
      <c r="G77" s="12">
        <v>3</v>
      </c>
      <c r="H77" s="8">
        <v>2.1</v>
      </c>
      <c r="I77" s="12">
        <v>0</v>
      </c>
    </row>
    <row r="78" spans="2:9" ht="15" customHeight="1" x14ac:dyDescent="0.15">
      <c r="B78" t="s">
        <v>171</v>
      </c>
      <c r="C78" s="12">
        <v>4</v>
      </c>
      <c r="D78" s="8">
        <v>1.4</v>
      </c>
      <c r="E78" s="12">
        <v>4</v>
      </c>
      <c r="F78" s="8">
        <v>2.82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139</v>
      </c>
      <c r="C79" s="12">
        <v>4</v>
      </c>
      <c r="D79" s="8">
        <v>1.4</v>
      </c>
      <c r="E79" s="12">
        <v>3</v>
      </c>
      <c r="F79" s="8">
        <v>2.11</v>
      </c>
      <c r="G79" s="12">
        <v>1</v>
      </c>
      <c r="H79" s="8">
        <v>0.7</v>
      </c>
      <c r="I79" s="12">
        <v>0</v>
      </c>
    </row>
    <row r="80" spans="2:9" ht="15" customHeight="1" x14ac:dyDescent="0.15">
      <c r="B80" t="s">
        <v>204</v>
      </c>
      <c r="C80" s="12">
        <v>4</v>
      </c>
      <c r="D80" s="8">
        <v>1.4</v>
      </c>
      <c r="E80" s="12">
        <v>1</v>
      </c>
      <c r="F80" s="8">
        <v>0.7</v>
      </c>
      <c r="G80" s="12">
        <v>3</v>
      </c>
      <c r="H80" s="8">
        <v>2.1</v>
      </c>
      <c r="I80" s="12">
        <v>0</v>
      </c>
    </row>
    <row r="81" spans="2:9" ht="15" customHeight="1" x14ac:dyDescent="0.15">
      <c r="B81" t="s">
        <v>144</v>
      </c>
      <c r="C81" s="12">
        <v>4</v>
      </c>
      <c r="D81" s="8">
        <v>1.4</v>
      </c>
      <c r="E81" s="12">
        <v>3</v>
      </c>
      <c r="F81" s="8">
        <v>2.11</v>
      </c>
      <c r="G81" s="12">
        <v>1</v>
      </c>
      <c r="H81" s="8">
        <v>0.7</v>
      </c>
      <c r="I81" s="12">
        <v>0</v>
      </c>
    </row>
    <row r="83" spans="2:9" ht="15" customHeight="1" x14ac:dyDescent="0.15">
      <c r="B83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361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166</v>
      </c>
      <c r="D6" s="8">
        <v>19.79</v>
      </c>
      <c r="E6" s="12">
        <v>127</v>
      </c>
      <c r="F6" s="8">
        <v>21.1</v>
      </c>
      <c r="G6" s="12">
        <v>39</v>
      </c>
      <c r="H6" s="8">
        <v>16.46</v>
      </c>
      <c r="I6" s="12">
        <v>0</v>
      </c>
    </row>
    <row r="7" spans="2:9" ht="15" customHeight="1" x14ac:dyDescent="0.15">
      <c r="B7" t="s">
        <v>53</v>
      </c>
      <c r="C7" s="12">
        <v>309</v>
      </c>
      <c r="D7" s="8">
        <v>36.83</v>
      </c>
      <c r="E7" s="12">
        <v>196</v>
      </c>
      <c r="F7" s="8">
        <v>32.56</v>
      </c>
      <c r="G7" s="12">
        <v>113</v>
      </c>
      <c r="H7" s="8">
        <v>47.68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56</v>
      </c>
      <c r="C10" s="12">
        <v>9</v>
      </c>
      <c r="D10" s="8">
        <v>1.07</v>
      </c>
      <c r="E10" s="12">
        <v>5</v>
      </c>
      <c r="F10" s="8">
        <v>0.83</v>
      </c>
      <c r="G10" s="12">
        <v>4</v>
      </c>
      <c r="H10" s="8">
        <v>1.69</v>
      </c>
      <c r="I10" s="12">
        <v>0</v>
      </c>
    </row>
    <row r="11" spans="2:9" ht="15" customHeight="1" x14ac:dyDescent="0.15">
      <c r="B11" t="s">
        <v>57</v>
      </c>
      <c r="C11" s="12">
        <v>152</v>
      </c>
      <c r="D11" s="8">
        <v>18.12</v>
      </c>
      <c r="E11" s="12">
        <v>105</v>
      </c>
      <c r="F11" s="8">
        <v>17.440000000000001</v>
      </c>
      <c r="G11" s="12">
        <v>47</v>
      </c>
      <c r="H11" s="8">
        <v>19.829999999999998</v>
      </c>
      <c r="I11" s="12">
        <v>0</v>
      </c>
    </row>
    <row r="12" spans="2:9" ht="15" customHeight="1" x14ac:dyDescent="0.15">
      <c r="B12" t="s">
        <v>58</v>
      </c>
      <c r="C12" s="12">
        <v>5</v>
      </c>
      <c r="D12" s="8">
        <v>0.6</v>
      </c>
      <c r="E12" s="12">
        <v>1</v>
      </c>
      <c r="F12" s="8">
        <v>0.17</v>
      </c>
      <c r="G12" s="12">
        <v>4</v>
      </c>
      <c r="H12" s="8">
        <v>1.69</v>
      </c>
      <c r="I12" s="12">
        <v>0</v>
      </c>
    </row>
    <row r="13" spans="2:9" ht="15" customHeight="1" x14ac:dyDescent="0.15">
      <c r="B13" t="s">
        <v>59</v>
      </c>
      <c r="C13" s="12">
        <v>8</v>
      </c>
      <c r="D13" s="8">
        <v>0.95</v>
      </c>
      <c r="E13" s="12">
        <v>3</v>
      </c>
      <c r="F13" s="8">
        <v>0.5</v>
      </c>
      <c r="G13" s="12">
        <v>5</v>
      </c>
      <c r="H13" s="8">
        <v>2.11</v>
      </c>
      <c r="I13" s="12">
        <v>0</v>
      </c>
    </row>
    <row r="14" spans="2:9" ht="15" customHeight="1" x14ac:dyDescent="0.15">
      <c r="B14" t="s">
        <v>60</v>
      </c>
      <c r="C14" s="12">
        <v>28</v>
      </c>
      <c r="D14" s="8">
        <v>3.34</v>
      </c>
      <c r="E14" s="12">
        <v>20</v>
      </c>
      <c r="F14" s="8">
        <v>3.32</v>
      </c>
      <c r="G14" s="12">
        <v>8</v>
      </c>
      <c r="H14" s="8">
        <v>3.38</v>
      </c>
      <c r="I14" s="12">
        <v>0</v>
      </c>
    </row>
    <row r="15" spans="2:9" ht="15" customHeight="1" x14ac:dyDescent="0.15">
      <c r="B15" t="s">
        <v>61</v>
      </c>
      <c r="C15" s="12">
        <v>52</v>
      </c>
      <c r="D15" s="8">
        <v>6.2</v>
      </c>
      <c r="E15" s="12">
        <v>51</v>
      </c>
      <c r="F15" s="8">
        <v>8.4700000000000006</v>
      </c>
      <c r="G15" s="12">
        <v>1</v>
      </c>
      <c r="H15" s="8">
        <v>0.42</v>
      </c>
      <c r="I15" s="12">
        <v>0</v>
      </c>
    </row>
    <row r="16" spans="2:9" ht="15" customHeight="1" x14ac:dyDescent="0.15">
      <c r="B16" t="s">
        <v>62</v>
      </c>
      <c r="C16" s="12">
        <v>62</v>
      </c>
      <c r="D16" s="8">
        <v>7.39</v>
      </c>
      <c r="E16" s="12">
        <v>58</v>
      </c>
      <c r="F16" s="8">
        <v>9.6300000000000008</v>
      </c>
      <c r="G16" s="12">
        <v>4</v>
      </c>
      <c r="H16" s="8">
        <v>1.69</v>
      </c>
      <c r="I16" s="12">
        <v>0</v>
      </c>
    </row>
    <row r="17" spans="2:9" ht="15" customHeight="1" x14ac:dyDescent="0.15">
      <c r="B17" t="s">
        <v>63</v>
      </c>
      <c r="C17" s="12">
        <v>10</v>
      </c>
      <c r="D17" s="8">
        <v>1.19</v>
      </c>
      <c r="E17" s="12">
        <v>9</v>
      </c>
      <c r="F17" s="8">
        <v>1.5</v>
      </c>
      <c r="G17" s="12">
        <v>1</v>
      </c>
      <c r="H17" s="8">
        <v>0.42</v>
      </c>
      <c r="I17" s="12">
        <v>0</v>
      </c>
    </row>
    <row r="18" spans="2:9" ht="15" customHeight="1" x14ac:dyDescent="0.15">
      <c r="B18" t="s">
        <v>64</v>
      </c>
      <c r="C18" s="12">
        <v>14</v>
      </c>
      <c r="D18" s="8">
        <v>1.67</v>
      </c>
      <c r="E18" s="12">
        <v>10</v>
      </c>
      <c r="F18" s="8">
        <v>1.66</v>
      </c>
      <c r="G18" s="12">
        <v>4</v>
      </c>
      <c r="H18" s="8">
        <v>1.69</v>
      </c>
      <c r="I18" s="12">
        <v>0</v>
      </c>
    </row>
    <row r="19" spans="2:9" ht="15" customHeight="1" x14ac:dyDescent="0.15">
      <c r="B19" t="s">
        <v>65</v>
      </c>
      <c r="C19" s="12">
        <v>24</v>
      </c>
      <c r="D19" s="8">
        <v>2.86</v>
      </c>
      <c r="E19" s="12">
        <v>17</v>
      </c>
      <c r="F19" s="8">
        <v>2.82</v>
      </c>
      <c r="G19" s="12">
        <v>7</v>
      </c>
      <c r="H19" s="8">
        <v>2.95</v>
      </c>
      <c r="I19" s="12">
        <v>0</v>
      </c>
    </row>
    <row r="20" spans="2:9" ht="15" customHeight="1" x14ac:dyDescent="0.15">
      <c r="B20" s="9" t="s">
        <v>215</v>
      </c>
      <c r="C20" s="12">
        <f>SUM(LTBL_28365[総数／事業所数])</f>
        <v>839</v>
      </c>
      <c r="E20" s="12">
        <f>SUBTOTAL(109,LTBL_28365[個人／事業所数])</f>
        <v>602</v>
      </c>
      <c r="G20" s="12">
        <f>SUBTOTAL(109,LTBL_28365[法人／事業所数])</f>
        <v>237</v>
      </c>
      <c r="I20" s="12">
        <f>SUBTOTAL(109,LTBL_28365[法人以外の団体／事業所数])</f>
        <v>0</v>
      </c>
    </row>
    <row r="21" spans="2:9" ht="15" customHeight="1" x14ac:dyDescent="0.15">
      <c r="E21" s="11">
        <f>LTBL_28365[[#Totals],[個人／事業所数]]/LTBL_28365[[#Totals],[総数／事業所数]]</f>
        <v>0.71752085816448152</v>
      </c>
      <c r="G21" s="11">
        <f>LTBL_28365[[#Totals],[法人／事業所数]]/LTBL_28365[[#Totals],[総数／事業所数]]</f>
        <v>0.28247914183551848</v>
      </c>
      <c r="I21" s="11">
        <f>LTBL_28365[[#Totals],[法人以外の団体／事業所数]]/LTBL_28365[[#Totals],[総数／事業所数]]</f>
        <v>0</v>
      </c>
    </row>
    <row r="23" spans="2:9" ht="33" customHeight="1" x14ac:dyDescent="0.15">
      <c r="B23" t="s">
        <v>214</v>
      </c>
      <c r="C23" s="10" t="s">
        <v>67</v>
      </c>
      <c r="D23" s="10" t="s">
        <v>362</v>
      </c>
      <c r="E23" s="10" t="s">
        <v>69</v>
      </c>
      <c r="F23" s="10" t="s">
        <v>363</v>
      </c>
      <c r="G23" s="10" t="s">
        <v>71</v>
      </c>
      <c r="H23" s="10" t="s">
        <v>364</v>
      </c>
      <c r="I23" s="10" t="s">
        <v>73</v>
      </c>
    </row>
    <row r="24" spans="2:9" ht="15" customHeight="1" x14ac:dyDescent="0.15">
      <c r="B24" t="s">
        <v>217</v>
      </c>
      <c r="C24">
        <v>5</v>
      </c>
      <c r="D24" t="s">
        <v>216</v>
      </c>
      <c r="E24">
        <v>0</v>
      </c>
      <c r="F24" t="s">
        <v>218</v>
      </c>
      <c r="G24">
        <v>5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229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110</v>
      </c>
      <c r="C29" s="12">
        <v>194</v>
      </c>
      <c r="D29" s="8">
        <v>23.12</v>
      </c>
      <c r="E29" s="12">
        <v>131</v>
      </c>
      <c r="F29" s="8">
        <v>21.76</v>
      </c>
      <c r="G29" s="12">
        <v>63</v>
      </c>
      <c r="H29" s="8">
        <v>26.58</v>
      </c>
      <c r="I29" s="12">
        <v>0</v>
      </c>
    </row>
    <row r="30" spans="2:9" ht="15" customHeight="1" x14ac:dyDescent="0.15">
      <c r="B30" t="s">
        <v>74</v>
      </c>
      <c r="C30" s="12">
        <v>75</v>
      </c>
      <c r="D30" s="8">
        <v>8.94</v>
      </c>
      <c r="E30" s="12">
        <v>49</v>
      </c>
      <c r="F30" s="8">
        <v>8.14</v>
      </c>
      <c r="G30" s="12">
        <v>26</v>
      </c>
      <c r="H30" s="8">
        <v>10.97</v>
      </c>
      <c r="I30" s="12">
        <v>0</v>
      </c>
    </row>
    <row r="31" spans="2:9" ht="15" customHeight="1" x14ac:dyDescent="0.15">
      <c r="B31" t="s">
        <v>75</v>
      </c>
      <c r="C31" s="12">
        <v>57</v>
      </c>
      <c r="D31" s="8">
        <v>6.79</v>
      </c>
      <c r="E31" s="12">
        <v>50</v>
      </c>
      <c r="F31" s="8">
        <v>8.31</v>
      </c>
      <c r="G31" s="12">
        <v>7</v>
      </c>
      <c r="H31" s="8">
        <v>2.95</v>
      </c>
      <c r="I31" s="12">
        <v>0</v>
      </c>
    </row>
    <row r="32" spans="2:9" ht="15" customHeight="1" x14ac:dyDescent="0.15">
      <c r="B32" t="s">
        <v>90</v>
      </c>
      <c r="C32" s="12">
        <v>57</v>
      </c>
      <c r="D32" s="8">
        <v>6.79</v>
      </c>
      <c r="E32" s="12">
        <v>55</v>
      </c>
      <c r="F32" s="8">
        <v>9.14</v>
      </c>
      <c r="G32" s="12">
        <v>2</v>
      </c>
      <c r="H32" s="8">
        <v>0.84</v>
      </c>
      <c r="I32" s="12">
        <v>0</v>
      </c>
    </row>
    <row r="33" spans="2:9" ht="15" customHeight="1" x14ac:dyDescent="0.15">
      <c r="B33" t="s">
        <v>84</v>
      </c>
      <c r="C33" s="12">
        <v>47</v>
      </c>
      <c r="D33" s="8">
        <v>5.6</v>
      </c>
      <c r="E33" s="12">
        <v>27</v>
      </c>
      <c r="F33" s="8">
        <v>4.49</v>
      </c>
      <c r="G33" s="12">
        <v>20</v>
      </c>
      <c r="H33" s="8">
        <v>8.44</v>
      </c>
      <c r="I33" s="12">
        <v>0</v>
      </c>
    </row>
    <row r="34" spans="2:9" ht="15" customHeight="1" x14ac:dyDescent="0.15">
      <c r="B34" t="s">
        <v>89</v>
      </c>
      <c r="C34" s="12">
        <v>47</v>
      </c>
      <c r="D34" s="8">
        <v>5.6</v>
      </c>
      <c r="E34" s="12">
        <v>47</v>
      </c>
      <c r="F34" s="8">
        <v>7.81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83</v>
      </c>
      <c r="C35" s="12">
        <v>36</v>
      </c>
      <c r="D35" s="8">
        <v>4.29</v>
      </c>
      <c r="E35" s="12">
        <v>29</v>
      </c>
      <c r="F35" s="8">
        <v>4.82</v>
      </c>
      <c r="G35" s="12">
        <v>7</v>
      </c>
      <c r="H35" s="8">
        <v>2.95</v>
      </c>
      <c r="I35" s="12">
        <v>0</v>
      </c>
    </row>
    <row r="36" spans="2:9" ht="15" customHeight="1" x14ac:dyDescent="0.15">
      <c r="B36" t="s">
        <v>76</v>
      </c>
      <c r="C36" s="12">
        <v>34</v>
      </c>
      <c r="D36" s="8">
        <v>4.05</v>
      </c>
      <c r="E36" s="12">
        <v>28</v>
      </c>
      <c r="F36" s="8">
        <v>4.6500000000000004</v>
      </c>
      <c r="G36" s="12">
        <v>6</v>
      </c>
      <c r="H36" s="8">
        <v>2.5299999999999998</v>
      </c>
      <c r="I36" s="12">
        <v>0</v>
      </c>
    </row>
    <row r="37" spans="2:9" ht="15" customHeight="1" x14ac:dyDescent="0.15">
      <c r="B37" t="s">
        <v>82</v>
      </c>
      <c r="C37" s="12">
        <v>32</v>
      </c>
      <c r="D37" s="8">
        <v>3.81</v>
      </c>
      <c r="E37" s="12">
        <v>28</v>
      </c>
      <c r="F37" s="8">
        <v>4.6500000000000004</v>
      </c>
      <c r="G37" s="12">
        <v>4</v>
      </c>
      <c r="H37" s="8">
        <v>1.69</v>
      </c>
      <c r="I37" s="12">
        <v>0</v>
      </c>
    </row>
    <row r="38" spans="2:9" ht="15" customHeight="1" x14ac:dyDescent="0.15">
      <c r="B38" t="s">
        <v>77</v>
      </c>
      <c r="C38" s="12">
        <v>23</v>
      </c>
      <c r="D38" s="8">
        <v>2.74</v>
      </c>
      <c r="E38" s="12">
        <v>15</v>
      </c>
      <c r="F38" s="8">
        <v>2.4900000000000002</v>
      </c>
      <c r="G38" s="12">
        <v>8</v>
      </c>
      <c r="H38" s="8">
        <v>3.38</v>
      </c>
      <c r="I38" s="12">
        <v>0</v>
      </c>
    </row>
    <row r="39" spans="2:9" ht="15" customHeight="1" x14ac:dyDescent="0.15">
      <c r="B39" t="s">
        <v>81</v>
      </c>
      <c r="C39" s="12">
        <v>18</v>
      </c>
      <c r="D39" s="8">
        <v>2.15</v>
      </c>
      <c r="E39" s="12">
        <v>13</v>
      </c>
      <c r="F39" s="8">
        <v>2.16</v>
      </c>
      <c r="G39" s="12">
        <v>5</v>
      </c>
      <c r="H39" s="8">
        <v>2.11</v>
      </c>
      <c r="I39" s="12">
        <v>0</v>
      </c>
    </row>
    <row r="40" spans="2:9" ht="15" customHeight="1" x14ac:dyDescent="0.15">
      <c r="B40" t="s">
        <v>87</v>
      </c>
      <c r="C40" s="12">
        <v>14</v>
      </c>
      <c r="D40" s="8">
        <v>1.67</v>
      </c>
      <c r="E40" s="12">
        <v>12</v>
      </c>
      <c r="F40" s="8">
        <v>1.99</v>
      </c>
      <c r="G40" s="12">
        <v>2</v>
      </c>
      <c r="H40" s="8">
        <v>0.84</v>
      </c>
      <c r="I40" s="12">
        <v>0</v>
      </c>
    </row>
    <row r="41" spans="2:9" ht="15" customHeight="1" x14ac:dyDescent="0.15">
      <c r="B41" t="s">
        <v>88</v>
      </c>
      <c r="C41" s="12">
        <v>14</v>
      </c>
      <c r="D41" s="8">
        <v>1.67</v>
      </c>
      <c r="E41" s="12">
        <v>8</v>
      </c>
      <c r="F41" s="8">
        <v>1.33</v>
      </c>
      <c r="G41" s="12">
        <v>6</v>
      </c>
      <c r="H41" s="8">
        <v>2.5299999999999998</v>
      </c>
      <c r="I41" s="12">
        <v>0</v>
      </c>
    </row>
    <row r="42" spans="2:9" ht="15" customHeight="1" x14ac:dyDescent="0.15">
      <c r="B42" t="s">
        <v>106</v>
      </c>
      <c r="C42" s="12">
        <v>12</v>
      </c>
      <c r="D42" s="8">
        <v>1.43</v>
      </c>
      <c r="E42" s="12">
        <v>8</v>
      </c>
      <c r="F42" s="8">
        <v>1.33</v>
      </c>
      <c r="G42" s="12">
        <v>4</v>
      </c>
      <c r="H42" s="8">
        <v>1.69</v>
      </c>
      <c r="I42" s="12">
        <v>0</v>
      </c>
    </row>
    <row r="43" spans="2:9" ht="15" customHeight="1" x14ac:dyDescent="0.15">
      <c r="B43" t="s">
        <v>107</v>
      </c>
      <c r="C43" s="12">
        <v>11</v>
      </c>
      <c r="D43" s="8">
        <v>1.31</v>
      </c>
      <c r="E43" s="12">
        <v>6</v>
      </c>
      <c r="F43" s="8">
        <v>1</v>
      </c>
      <c r="G43" s="12">
        <v>5</v>
      </c>
      <c r="H43" s="8">
        <v>2.11</v>
      </c>
      <c r="I43" s="12">
        <v>0</v>
      </c>
    </row>
    <row r="44" spans="2:9" ht="15" customHeight="1" x14ac:dyDescent="0.15">
      <c r="B44" t="s">
        <v>113</v>
      </c>
      <c r="C44" s="12">
        <v>10</v>
      </c>
      <c r="D44" s="8">
        <v>1.19</v>
      </c>
      <c r="E44" s="12">
        <v>5</v>
      </c>
      <c r="F44" s="8">
        <v>0.83</v>
      </c>
      <c r="G44" s="12">
        <v>5</v>
      </c>
      <c r="H44" s="8">
        <v>2.11</v>
      </c>
      <c r="I44" s="12">
        <v>0</v>
      </c>
    </row>
    <row r="45" spans="2:9" ht="15" customHeight="1" x14ac:dyDescent="0.15">
      <c r="B45" t="s">
        <v>112</v>
      </c>
      <c r="C45" s="12">
        <v>10</v>
      </c>
      <c r="D45" s="8">
        <v>1.19</v>
      </c>
      <c r="E45" s="12">
        <v>7</v>
      </c>
      <c r="F45" s="8">
        <v>1.1599999999999999</v>
      </c>
      <c r="G45" s="12">
        <v>3</v>
      </c>
      <c r="H45" s="8">
        <v>1.27</v>
      </c>
      <c r="I45" s="12">
        <v>0</v>
      </c>
    </row>
    <row r="46" spans="2:9" ht="15" customHeight="1" x14ac:dyDescent="0.15">
      <c r="B46" t="s">
        <v>92</v>
      </c>
      <c r="C46" s="12">
        <v>10</v>
      </c>
      <c r="D46" s="8">
        <v>1.19</v>
      </c>
      <c r="E46" s="12">
        <v>9</v>
      </c>
      <c r="F46" s="8">
        <v>1.5</v>
      </c>
      <c r="G46" s="12">
        <v>1</v>
      </c>
      <c r="H46" s="8">
        <v>0.42</v>
      </c>
      <c r="I46" s="12">
        <v>0</v>
      </c>
    </row>
    <row r="47" spans="2:9" ht="15" customHeight="1" x14ac:dyDescent="0.15">
      <c r="B47" t="s">
        <v>115</v>
      </c>
      <c r="C47" s="12">
        <v>9</v>
      </c>
      <c r="D47" s="8">
        <v>1.07</v>
      </c>
      <c r="E47" s="12">
        <v>6</v>
      </c>
      <c r="F47" s="8">
        <v>1</v>
      </c>
      <c r="G47" s="12">
        <v>3</v>
      </c>
      <c r="H47" s="8">
        <v>1.27</v>
      </c>
      <c r="I47" s="12">
        <v>0</v>
      </c>
    </row>
    <row r="48" spans="2:9" ht="15" customHeight="1" x14ac:dyDescent="0.15">
      <c r="B48" t="s">
        <v>101</v>
      </c>
      <c r="C48" s="12">
        <v>9</v>
      </c>
      <c r="D48" s="8">
        <v>1.07</v>
      </c>
      <c r="E48" s="12">
        <v>5</v>
      </c>
      <c r="F48" s="8">
        <v>0.83</v>
      </c>
      <c r="G48" s="12">
        <v>4</v>
      </c>
      <c r="H48" s="8">
        <v>1.69</v>
      </c>
      <c r="I48" s="12">
        <v>0</v>
      </c>
    </row>
    <row r="49" spans="2:9" ht="15" customHeight="1" x14ac:dyDescent="0.15">
      <c r="B49" t="s">
        <v>93</v>
      </c>
      <c r="C49" s="12">
        <v>9</v>
      </c>
      <c r="D49" s="8">
        <v>1.07</v>
      </c>
      <c r="E49" s="12">
        <v>9</v>
      </c>
      <c r="F49" s="8">
        <v>1.5</v>
      </c>
      <c r="G49" s="12">
        <v>0</v>
      </c>
      <c r="H49" s="8">
        <v>0</v>
      </c>
      <c r="I49" s="12">
        <v>0</v>
      </c>
    </row>
    <row r="52" spans="2:9" ht="33" customHeight="1" x14ac:dyDescent="0.15">
      <c r="B52" t="s">
        <v>365</v>
      </c>
      <c r="C52" s="10" t="s">
        <v>67</v>
      </c>
      <c r="D52" s="10" t="s">
        <v>68</v>
      </c>
      <c r="E52" s="10" t="s">
        <v>69</v>
      </c>
      <c r="F52" s="10" t="s">
        <v>70</v>
      </c>
      <c r="G52" s="10" t="s">
        <v>71</v>
      </c>
      <c r="H52" s="10" t="s">
        <v>72</v>
      </c>
      <c r="I52" s="10" t="s">
        <v>73</v>
      </c>
    </row>
    <row r="53" spans="2:9" ht="15" customHeight="1" x14ac:dyDescent="0.15">
      <c r="B53" t="s">
        <v>173</v>
      </c>
      <c r="C53" s="12">
        <v>76</v>
      </c>
      <c r="D53" s="8">
        <v>9.06</v>
      </c>
      <c r="E53" s="12">
        <v>42</v>
      </c>
      <c r="F53" s="8">
        <v>6.98</v>
      </c>
      <c r="G53" s="12">
        <v>34</v>
      </c>
      <c r="H53" s="8">
        <v>14.35</v>
      </c>
      <c r="I53" s="12">
        <v>0</v>
      </c>
    </row>
    <row r="54" spans="2:9" ht="15" customHeight="1" x14ac:dyDescent="0.15">
      <c r="B54" t="s">
        <v>175</v>
      </c>
      <c r="C54" s="12">
        <v>36</v>
      </c>
      <c r="D54" s="8">
        <v>4.29</v>
      </c>
      <c r="E54" s="12">
        <v>21</v>
      </c>
      <c r="F54" s="8">
        <v>3.49</v>
      </c>
      <c r="G54" s="12">
        <v>15</v>
      </c>
      <c r="H54" s="8">
        <v>6.33</v>
      </c>
      <c r="I54" s="12">
        <v>0</v>
      </c>
    </row>
    <row r="55" spans="2:9" ht="15" customHeight="1" x14ac:dyDescent="0.15">
      <c r="B55" t="s">
        <v>206</v>
      </c>
      <c r="C55" s="12">
        <v>30</v>
      </c>
      <c r="D55" s="8">
        <v>3.58</v>
      </c>
      <c r="E55" s="12">
        <v>25</v>
      </c>
      <c r="F55" s="8">
        <v>4.1500000000000004</v>
      </c>
      <c r="G55" s="12">
        <v>5</v>
      </c>
      <c r="H55" s="8">
        <v>2.11</v>
      </c>
      <c r="I55" s="12">
        <v>0</v>
      </c>
    </row>
    <row r="56" spans="2:9" ht="15" customHeight="1" x14ac:dyDescent="0.15">
      <c r="B56" t="s">
        <v>167</v>
      </c>
      <c r="C56" s="12">
        <v>27</v>
      </c>
      <c r="D56" s="8">
        <v>3.22</v>
      </c>
      <c r="E56" s="12">
        <v>23</v>
      </c>
      <c r="F56" s="8">
        <v>3.82</v>
      </c>
      <c r="G56" s="12">
        <v>4</v>
      </c>
      <c r="H56" s="8">
        <v>1.69</v>
      </c>
      <c r="I56" s="12">
        <v>0</v>
      </c>
    </row>
    <row r="57" spans="2:9" ht="15" customHeight="1" x14ac:dyDescent="0.15">
      <c r="B57" t="s">
        <v>141</v>
      </c>
      <c r="C57" s="12">
        <v>27</v>
      </c>
      <c r="D57" s="8">
        <v>3.22</v>
      </c>
      <c r="E57" s="12">
        <v>27</v>
      </c>
      <c r="F57" s="8">
        <v>4.49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127</v>
      </c>
      <c r="C58" s="12">
        <v>25</v>
      </c>
      <c r="D58" s="8">
        <v>2.98</v>
      </c>
      <c r="E58" s="12">
        <v>21</v>
      </c>
      <c r="F58" s="8">
        <v>3.49</v>
      </c>
      <c r="G58" s="12">
        <v>4</v>
      </c>
      <c r="H58" s="8">
        <v>1.69</v>
      </c>
      <c r="I58" s="12">
        <v>0</v>
      </c>
    </row>
    <row r="59" spans="2:9" ht="15" customHeight="1" x14ac:dyDescent="0.15">
      <c r="B59" t="s">
        <v>140</v>
      </c>
      <c r="C59" s="12">
        <v>22</v>
      </c>
      <c r="D59" s="8">
        <v>2.62</v>
      </c>
      <c r="E59" s="12">
        <v>21</v>
      </c>
      <c r="F59" s="8">
        <v>3.49</v>
      </c>
      <c r="G59" s="12">
        <v>1</v>
      </c>
      <c r="H59" s="8">
        <v>0.42</v>
      </c>
      <c r="I59" s="12">
        <v>0</v>
      </c>
    </row>
    <row r="60" spans="2:9" ht="15" customHeight="1" x14ac:dyDescent="0.15">
      <c r="B60" t="s">
        <v>125</v>
      </c>
      <c r="C60" s="12">
        <v>21</v>
      </c>
      <c r="D60" s="8">
        <v>2.5</v>
      </c>
      <c r="E60" s="12">
        <v>9</v>
      </c>
      <c r="F60" s="8">
        <v>1.5</v>
      </c>
      <c r="G60" s="12">
        <v>12</v>
      </c>
      <c r="H60" s="8">
        <v>5.0599999999999996</v>
      </c>
      <c r="I60" s="12">
        <v>0</v>
      </c>
    </row>
    <row r="61" spans="2:9" ht="15" customHeight="1" x14ac:dyDescent="0.15">
      <c r="B61" t="s">
        <v>181</v>
      </c>
      <c r="C61" s="12">
        <v>21</v>
      </c>
      <c r="D61" s="8">
        <v>2.5</v>
      </c>
      <c r="E61" s="12">
        <v>19</v>
      </c>
      <c r="F61" s="8">
        <v>3.16</v>
      </c>
      <c r="G61" s="12">
        <v>2</v>
      </c>
      <c r="H61" s="8">
        <v>0.84</v>
      </c>
      <c r="I61" s="12">
        <v>0</v>
      </c>
    </row>
    <row r="62" spans="2:9" ht="15" customHeight="1" x14ac:dyDescent="0.15">
      <c r="B62" t="s">
        <v>205</v>
      </c>
      <c r="C62" s="12">
        <v>21</v>
      </c>
      <c r="D62" s="8">
        <v>2.5</v>
      </c>
      <c r="E62" s="12">
        <v>19</v>
      </c>
      <c r="F62" s="8">
        <v>3.16</v>
      </c>
      <c r="G62" s="12">
        <v>2</v>
      </c>
      <c r="H62" s="8">
        <v>0.84</v>
      </c>
      <c r="I62" s="12">
        <v>0</v>
      </c>
    </row>
    <row r="63" spans="2:9" ht="15" customHeight="1" x14ac:dyDescent="0.15">
      <c r="B63" t="s">
        <v>130</v>
      </c>
      <c r="C63" s="12">
        <v>21</v>
      </c>
      <c r="D63" s="8">
        <v>2.5</v>
      </c>
      <c r="E63" s="12">
        <v>15</v>
      </c>
      <c r="F63" s="8">
        <v>2.4900000000000002</v>
      </c>
      <c r="G63" s="12">
        <v>6</v>
      </c>
      <c r="H63" s="8">
        <v>2.5299999999999998</v>
      </c>
      <c r="I63" s="12">
        <v>0</v>
      </c>
    </row>
    <row r="64" spans="2:9" ht="15" customHeight="1" x14ac:dyDescent="0.15">
      <c r="B64" t="s">
        <v>138</v>
      </c>
      <c r="C64" s="12">
        <v>20</v>
      </c>
      <c r="D64" s="8">
        <v>2.38</v>
      </c>
      <c r="E64" s="12">
        <v>20</v>
      </c>
      <c r="F64" s="8">
        <v>3.32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132</v>
      </c>
      <c r="C65" s="12">
        <v>19</v>
      </c>
      <c r="D65" s="8">
        <v>2.2599999999999998</v>
      </c>
      <c r="E65" s="12">
        <v>14</v>
      </c>
      <c r="F65" s="8">
        <v>2.33</v>
      </c>
      <c r="G65" s="12">
        <v>5</v>
      </c>
      <c r="H65" s="8">
        <v>2.11</v>
      </c>
      <c r="I65" s="12">
        <v>0</v>
      </c>
    </row>
    <row r="66" spans="2:9" ht="15" customHeight="1" x14ac:dyDescent="0.15">
      <c r="B66" t="s">
        <v>174</v>
      </c>
      <c r="C66" s="12">
        <v>16</v>
      </c>
      <c r="D66" s="8">
        <v>1.91</v>
      </c>
      <c r="E66" s="12">
        <v>15</v>
      </c>
      <c r="F66" s="8">
        <v>2.4900000000000002</v>
      </c>
      <c r="G66" s="12">
        <v>1</v>
      </c>
      <c r="H66" s="8">
        <v>0.42</v>
      </c>
      <c r="I66" s="12">
        <v>0</v>
      </c>
    </row>
    <row r="67" spans="2:9" ht="15" customHeight="1" x14ac:dyDescent="0.15">
      <c r="B67" t="s">
        <v>126</v>
      </c>
      <c r="C67" s="12">
        <v>13</v>
      </c>
      <c r="D67" s="8">
        <v>1.55</v>
      </c>
      <c r="E67" s="12">
        <v>8</v>
      </c>
      <c r="F67" s="8">
        <v>1.33</v>
      </c>
      <c r="G67" s="12">
        <v>5</v>
      </c>
      <c r="H67" s="8">
        <v>2.11</v>
      </c>
      <c r="I67" s="12">
        <v>0</v>
      </c>
    </row>
    <row r="68" spans="2:9" ht="15" customHeight="1" x14ac:dyDescent="0.15">
      <c r="B68" t="s">
        <v>159</v>
      </c>
      <c r="C68" s="12">
        <v>13</v>
      </c>
      <c r="D68" s="8">
        <v>1.55</v>
      </c>
      <c r="E68" s="12">
        <v>12</v>
      </c>
      <c r="F68" s="8">
        <v>1.99</v>
      </c>
      <c r="G68" s="12">
        <v>1</v>
      </c>
      <c r="H68" s="8">
        <v>0.42</v>
      </c>
      <c r="I68" s="12">
        <v>0</v>
      </c>
    </row>
    <row r="69" spans="2:9" ht="15" customHeight="1" x14ac:dyDescent="0.15">
      <c r="B69" t="s">
        <v>166</v>
      </c>
      <c r="C69" s="12">
        <v>12</v>
      </c>
      <c r="D69" s="8">
        <v>1.43</v>
      </c>
      <c r="E69" s="12">
        <v>8</v>
      </c>
      <c r="F69" s="8">
        <v>1.33</v>
      </c>
      <c r="G69" s="12">
        <v>4</v>
      </c>
      <c r="H69" s="8">
        <v>1.69</v>
      </c>
      <c r="I69" s="12">
        <v>0</v>
      </c>
    </row>
    <row r="70" spans="2:9" ht="15" customHeight="1" x14ac:dyDescent="0.15">
      <c r="B70" t="s">
        <v>183</v>
      </c>
      <c r="C70" s="12">
        <v>11</v>
      </c>
      <c r="D70" s="8">
        <v>1.31</v>
      </c>
      <c r="E70" s="12">
        <v>8</v>
      </c>
      <c r="F70" s="8">
        <v>1.33</v>
      </c>
      <c r="G70" s="12">
        <v>3</v>
      </c>
      <c r="H70" s="8">
        <v>1.27</v>
      </c>
      <c r="I70" s="12">
        <v>0</v>
      </c>
    </row>
    <row r="71" spans="2:9" ht="15" customHeight="1" x14ac:dyDescent="0.15">
      <c r="B71" t="s">
        <v>129</v>
      </c>
      <c r="C71" s="12">
        <v>11</v>
      </c>
      <c r="D71" s="8">
        <v>1.31</v>
      </c>
      <c r="E71" s="12">
        <v>10</v>
      </c>
      <c r="F71" s="8">
        <v>1.66</v>
      </c>
      <c r="G71" s="12">
        <v>1</v>
      </c>
      <c r="H71" s="8">
        <v>0.42</v>
      </c>
      <c r="I71" s="12">
        <v>0</v>
      </c>
    </row>
    <row r="72" spans="2:9" ht="15" customHeight="1" x14ac:dyDescent="0.15">
      <c r="B72" t="s">
        <v>150</v>
      </c>
      <c r="C72" s="12">
        <v>11</v>
      </c>
      <c r="D72" s="8">
        <v>1.31</v>
      </c>
      <c r="E72" s="12">
        <v>6</v>
      </c>
      <c r="F72" s="8">
        <v>1</v>
      </c>
      <c r="G72" s="12">
        <v>5</v>
      </c>
      <c r="H72" s="8">
        <v>2.11</v>
      </c>
      <c r="I72" s="12">
        <v>0</v>
      </c>
    </row>
    <row r="74" spans="2:9" ht="15" customHeight="1" x14ac:dyDescent="0.15">
      <c r="B74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366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123</v>
      </c>
      <c r="D6" s="8">
        <v>18.41</v>
      </c>
      <c r="E6" s="12">
        <v>47</v>
      </c>
      <c r="F6" s="8">
        <v>13.31</v>
      </c>
      <c r="G6" s="12">
        <v>76</v>
      </c>
      <c r="H6" s="8">
        <v>24.13</v>
      </c>
      <c r="I6" s="12">
        <v>0</v>
      </c>
    </row>
    <row r="7" spans="2:9" ht="15" customHeight="1" x14ac:dyDescent="0.15">
      <c r="B7" t="s">
        <v>53</v>
      </c>
      <c r="C7" s="12">
        <v>155</v>
      </c>
      <c r="D7" s="8">
        <v>23.2</v>
      </c>
      <c r="E7" s="12">
        <v>54</v>
      </c>
      <c r="F7" s="8">
        <v>15.3</v>
      </c>
      <c r="G7" s="12">
        <v>101</v>
      </c>
      <c r="H7" s="8">
        <v>32.06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56</v>
      </c>
      <c r="C10" s="12">
        <v>22</v>
      </c>
      <c r="D10" s="8">
        <v>3.29</v>
      </c>
      <c r="E10" s="12">
        <v>1</v>
      </c>
      <c r="F10" s="8">
        <v>0.28000000000000003</v>
      </c>
      <c r="G10" s="12">
        <v>21</v>
      </c>
      <c r="H10" s="8">
        <v>6.67</v>
      </c>
      <c r="I10" s="12">
        <v>0</v>
      </c>
    </row>
    <row r="11" spans="2:9" ht="15" customHeight="1" x14ac:dyDescent="0.15">
      <c r="B11" t="s">
        <v>57</v>
      </c>
      <c r="C11" s="12">
        <v>119</v>
      </c>
      <c r="D11" s="8">
        <v>17.809999999999999</v>
      </c>
      <c r="E11" s="12">
        <v>70</v>
      </c>
      <c r="F11" s="8">
        <v>19.829999999999998</v>
      </c>
      <c r="G11" s="12">
        <v>49</v>
      </c>
      <c r="H11" s="8">
        <v>15.56</v>
      </c>
      <c r="I11" s="12">
        <v>0</v>
      </c>
    </row>
    <row r="12" spans="2:9" ht="15" customHeight="1" x14ac:dyDescent="0.15">
      <c r="B12" t="s">
        <v>58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59</v>
      </c>
      <c r="C13" s="12">
        <v>37</v>
      </c>
      <c r="D13" s="8">
        <v>5.54</v>
      </c>
      <c r="E13" s="12">
        <v>19</v>
      </c>
      <c r="F13" s="8">
        <v>5.38</v>
      </c>
      <c r="G13" s="12">
        <v>18</v>
      </c>
      <c r="H13" s="8">
        <v>5.71</v>
      </c>
      <c r="I13" s="12">
        <v>0</v>
      </c>
    </row>
    <row r="14" spans="2:9" ht="15" customHeight="1" x14ac:dyDescent="0.15">
      <c r="B14" t="s">
        <v>60</v>
      </c>
      <c r="C14" s="12">
        <v>33</v>
      </c>
      <c r="D14" s="8">
        <v>4.9400000000000004</v>
      </c>
      <c r="E14" s="12">
        <v>20</v>
      </c>
      <c r="F14" s="8">
        <v>5.67</v>
      </c>
      <c r="G14" s="12">
        <v>13</v>
      </c>
      <c r="H14" s="8">
        <v>4.13</v>
      </c>
      <c r="I14" s="12">
        <v>0</v>
      </c>
    </row>
    <row r="15" spans="2:9" ht="15" customHeight="1" x14ac:dyDescent="0.15">
      <c r="B15" t="s">
        <v>61</v>
      </c>
      <c r="C15" s="12">
        <v>50</v>
      </c>
      <c r="D15" s="8">
        <v>7.49</v>
      </c>
      <c r="E15" s="12">
        <v>45</v>
      </c>
      <c r="F15" s="8">
        <v>12.75</v>
      </c>
      <c r="G15" s="12">
        <v>5</v>
      </c>
      <c r="H15" s="8">
        <v>1.59</v>
      </c>
      <c r="I15" s="12">
        <v>0</v>
      </c>
    </row>
    <row r="16" spans="2:9" ht="15" customHeight="1" x14ac:dyDescent="0.15">
      <c r="B16" t="s">
        <v>62</v>
      </c>
      <c r="C16" s="12">
        <v>58</v>
      </c>
      <c r="D16" s="8">
        <v>8.68</v>
      </c>
      <c r="E16" s="12">
        <v>46</v>
      </c>
      <c r="F16" s="8">
        <v>13.03</v>
      </c>
      <c r="G16" s="12">
        <v>12</v>
      </c>
      <c r="H16" s="8">
        <v>3.81</v>
      </c>
      <c r="I16" s="12">
        <v>0</v>
      </c>
    </row>
    <row r="17" spans="2:9" ht="15" customHeight="1" x14ac:dyDescent="0.15">
      <c r="B17" t="s">
        <v>63</v>
      </c>
      <c r="C17" s="12">
        <v>25</v>
      </c>
      <c r="D17" s="8">
        <v>3.74</v>
      </c>
      <c r="E17" s="12">
        <v>21</v>
      </c>
      <c r="F17" s="8">
        <v>5.95</v>
      </c>
      <c r="G17" s="12">
        <v>4</v>
      </c>
      <c r="H17" s="8">
        <v>1.27</v>
      </c>
      <c r="I17" s="12">
        <v>0</v>
      </c>
    </row>
    <row r="18" spans="2:9" ht="15" customHeight="1" x14ac:dyDescent="0.15">
      <c r="B18" t="s">
        <v>64</v>
      </c>
      <c r="C18" s="12">
        <v>13</v>
      </c>
      <c r="D18" s="8">
        <v>1.95</v>
      </c>
      <c r="E18" s="12">
        <v>12</v>
      </c>
      <c r="F18" s="8">
        <v>3.4</v>
      </c>
      <c r="G18" s="12">
        <v>1</v>
      </c>
      <c r="H18" s="8">
        <v>0.32</v>
      </c>
      <c r="I18" s="12">
        <v>0</v>
      </c>
    </row>
    <row r="19" spans="2:9" ht="15" customHeight="1" x14ac:dyDescent="0.15">
      <c r="B19" t="s">
        <v>65</v>
      </c>
      <c r="C19" s="12">
        <v>33</v>
      </c>
      <c r="D19" s="8">
        <v>4.9400000000000004</v>
      </c>
      <c r="E19" s="12">
        <v>18</v>
      </c>
      <c r="F19" s="8">
        <v>5.0999999999999996</v>
      </c>
      <c r="G19" s="12">
        <v>15</v>
      </c>
      <c r="H19" s="8">
        <v>4.76</v>
      </c>
      <c r="I19" s="12">
        <v>0</v>
      </c>
    </row>
    <row r="20" spans="2:9" ht="15" customHeight="1" x14ac:dyDescent="0.15">
      <c r="B20" s="9" t="s">
        <v>215</v>
      </c>
      <c r="C20" s="12">
        <f>SUM(LTBL_28381[総数／事業所数])</f>
        <v>668</v>
      </c>
      <c r="E20" s="12">
        <f>SUBTOTAL(109,LTBL_28381[個人／事業所数])</f>
        <v>353</v>
      </c>
      <c r="G20" s="12">
        <f>SUBTOTAL(109,LTBL_28381[法人／事業所数])</f>
        <v>315</v>
      </c>
      <c r="I20" s="12">
        <f>SUBTOTAL(109,LTBL_28381[法人以外の団体／事業所数])</f>
        <v>0</v>
      </c>
    </row>
    <row r="21" spans="2:9" ht="15" customHeight="1" x14ac:dyDescent="0.15">
      <c r="E21" s="11">
        <f>LTBL_28381[[#Totals],[個人／事業所数]]/LTBL_28381[[#Totals],[総数／事業所数]]</f>
        <v>0.52844311377245512</v>
      </c>
      <c r="G21" s="11">
        <f>LTBL_28381[[#Totals],[法人／事業所数]]/LTBL_28381[[#Totals],[総数／事業所数]]</f>
        <v>0.47155688622754494</v>
      </c>
      <c r="I21" s="11">
        <f>LTBL_28381[[#Totals],[法人以外の団体／事業所数]]/LTBL_28381[[#Totals],[総数／事業所数]]</f>
        <v>0</v>
      </c>
    </row>
    <row r="23" spans="2:9" ht="33" customHeight="1" x14ac:dyDescent="0.15">
      <c r="B23" t="s">
        <v>214</v>
      </c>
      <c r="C23" s="10" t="s">
        <v>67</v>
      </c>
      <c r="D23" s="10" t="s">
        <v>367</v>
      </c>
      <c r="E23" s="10" t="s">
        <v>69</v>
      </c>
      <c r="F23" s="10" t="s">
        <v>222</v>
      </c>
      <c r="G23" s="10" t="s">
        <v>71</v>
      </c>
      <c r="H23" s="10" t="s">
        <v>223</v>
      </c>
      <c r="I23" s="10" t="s">
        <v>73</v>
      </c>
    </row>
    <row r="24" spans="2:9" ht="15" customHeight="1" x14ac:dyDescent="0.15">
      <c r="B24" t="s">
        <v>217</v>
      </c>
      <c r="C24">
        <v>4</v>
      </c>
      <c r="D24" t="s">
        <v>216</v>
      </c>
      <c r="E24">
        <v>0</v>
      </c>
      <c r="F24" t="s">
        <v>218</v>
      </c>
      <c r="G24">
        <v>4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368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74</v>
      </c>
      <c r="C29" s="12">
        <v>59</v>
      </c>
      <c r="D29" s="8">
        <v>8.83</v>
      </c>
      <c r="E29" s="12">
        <v>18</v>
      </c>
      <c r="F29" s="8">
        <v>5.0999999999999996</v>
      </c>
      <c r="G29" s="12">
        <v>41</v>
      </c>
      <c r="H29" s="8">
        <v>13.02</v>
      </c>
      <c r="I29" s="12">
        <v>0</v>
      </c>
    </row>
    <row r="30" spans="2:9" ht="15" customHeight="1" x14ac:dyDescent="0.15">
      <c r="B30" t="s">
        <v>90</v>
      </c>
      <c r="C30" s="12">
        <v>50</v>
      </c>
      <c r="D30" s="8">
        <v>7.49</v>
      </c>
      <c r="E30" s="12">
        <v>40</v>
      </c>
      <c r="F30" s="8">
        <v>11.33</v>
      </c>
      <c r="G30" s="12">
        <v>10</v>
      </c>
      <c r="H30" s="8">
        <v>3.17</v>
      </c>
      <c r="I30" s="12">
        <v>0</v>
      </c>
    </row>
    <row r="31" spans="2:9" ht="15" customHeight="1" x14ac:dyDescent="0.15">
      <c r="B31" t="s">
        <v>77</v>
      </c>
      <c r="C31" s="12">
        <v>47</v>
      </c>
      <c r="D31" s="8">
        <v>7.04</v>
      </c>
      <c r="E31" s="12">
        <v>13</v>
      </c>
      <c r="F31" s="8">
        <v>3.68</v>
      </c>
      <c r="G31" s="12">
        <v>34</v>
      </c>
      <c r="H31" s="8">
        <v>10.79</v>
      </c>
      <c r="I31" s="12">
        <v>0</v>
      </c>
    </row>
    <row r="32" spans="2:9" ht="15" customHeight="1" x14ac:dyDescent="0.15">
      <c r="B32" t="s">
        <v>89</v>
      </c>
      <c r="C32" s="12">
        <v>47</v>
      </c>
      <c r="D32" s="8">
        <v>7.04</v>
      </c>
      <c r="E32" s="12">
        <v>43</v>
      </c>
      <c r="F32" s="8">
        <v>12.18</v>
      </c>
      <c r="G32" s="12">
        <v>4</v>
      </c>
      <c r="H32" s="8">
        <v>1.27</v>
      </c>
      <c r="I32" s="12">
        <v>0</v>
      </c>
    </row>
    <row r="33" spans="2:9" ht="15" customHeight="1" x14ac:dyDescent="0.15">
      <c r="B33" t="s">
        <v>75</v>
      </c>
      <c r="C33" s="12">
        <v>38</v>
      </c>
      <c r="D33" s="8">
        <v>5.69</v>
      </c>
      <c r="E33" s="12">
        <v>19</v>
      </c>
      <c r="F33" s="8">
        <v>5.38</v>
      </c>
      <c r="G33" s="12">
        <v>19</v>
      </c>
      <c r="H33" s="8">
        <v>6.03</v>
      </c>
      <c r="I33" s="12">
        <v>0</v>
      </c>
    </row>
    <row r="34" spans="2:9" ht="15" customHeight="1" x14ac:dyDescent="0.15">
      <c r="B34" t="s">
        <v>86</v>
      </c>
      <c r="C34" s="12">
        <v>30</v>
      </c>
      <c r="D34" s="8">
        <v>4.49</v>
      </c>
      <c r="E34" s="12">
        <v>17</v>
      </c>
      <c r="F34" s="8">
        <v>4.82</v>
      </c>
      <c r="G34" s="12">
        <v>13</v>
      </c>
      <c r="H34" s="8">
        <v>4.13</v>
      </c>
      <c r="I34" s="12">
        <v>0</v>
      </c>
    </row>
    <row r="35" spans="2:9" ht="15" customHeight="1" x14ac:dyDescent="0.15">
      <c r="B35" t="s">
        <v>83</v>
      </c>
      <c r="C35" s="12">
        <v>27</v>
      </c>
      <c r="D35" s="8">
        <v>4.04</v>
      </c>
      <c r="E35" s="12">
        <v>21</v>
      </c>
      <c r="F35" s="8">
        <v>5.95</v>
      </c>
      <c r="G35" s="12">
        <v>6</v>
      </c>
      <c r="H35" s="8">
        <v>1.9</v>
      </c>
      <c r="I35" s="12">
        <v>0</v>
      </c>
    </row>
    <row r="36" spans="2:9" ht="15" customHeight="1" x14ac:dyDescent="0.15">
      <c r="B36" t="s">
        <v>84</v>
      </c>
      <c r="C36" s="12">
        <v>27</v>
      </c>
      <c r="D36" s="8">
        <v>4.04</v>
      </c>
      <c r="E36" s="12">
        <v>17</v>
      </c>
      <c r="F36" s="8">
        <v>4.82</v>
      </c>
      <c r="G36" s="12">
        <v>10</v>
      </c>
      <c r="H36" s="8">
        <v>3.17</v>
      </c>
      <c r="I36" s="12">
        <v>0</v>
      </c>
    </row>
    <row r="37" spans="2:9" ht="15" customHeight="1" x14ac:dyDescent="0.15">
      <c r="B37" t="s">
        <v>76</v>
      </c>
      <c r="C37" s="12">
        <v>26</v>
      </c>
      <c r="D37" s="8">
        <v>3.89</v>
      </c>
      <c r="E37" s="12">
        <v>10</v>
      </c>
      <c r="F37" s="8">
        <v>2.83</v>
      </c>
      <c r="G37" s="12">
        <v>16</v>
      </c>
      <c r="H37" s="8">
        <v>5.08</v>
      </c>
      <c r="I37" s="12">
        <v>0</v>
      </c>
    </row>
    <row r="38" spans="2:9" ht="15" customHeight="1" x14ac:dyDescent="0.15">
      <c r="B38" t="s">
        <v>101</v>
      </c>
      <c r="C38" s="12">
        <v>26</v>
      </c>
      <c r="D38" s="8">
        <v>3.89</v>
      </c>
      <c r="E38" s="12">
        <v>10</v>
      </c>
      <c r="F38" s="8">
        <v>2.83</v>
      </c>
      <c r="G38" s="12">
        <v>16</v>
      </c>
      <c r="H38" s="8">
        <v>5.08</v>
      </c>
      <c r="I38" s="12">
        <v>0</v>
      </c>
    </row>
    <row r="39" spans="2:9" ht="15" customHeight="1" x14ac:dyDescent="0.15">
      <c r="B39" t="s">
        <v>92</v>
      </c>
      <c r="C39" s="12">
        <v>25</v>
      </c>
      <c r="D39" s="8">
        <v>3.74</v>
      </c>
      <c r="E39" s="12">
        <v>21</v>
      </c>
      <c r="F39" s="8">
        <v>5.95</v>
      </c>
      <c r="G39" s="12">
        <v>4</v>
      </c>
      <c r="H39" s="8">
        <v>1.27</v>
      </c>
      <c r="I39" s="12">
        <v>0</v>
      </c>
    </row>
    <row r="40" spans="2:9" ht="15" customHeight="1" x14ac:dyDescent="0.15">
      <c r="B40" t="s">
        <v>82</v>
      </c>
      <c r="C40" s="12">
        <v>21</v>
      </c>
      <c r="D40" s="8">
        <v>3.14</v>
      </c>
      <c r="E40" s="12">
        <v>18</v>
      </c>
      <c r="F40" s="8">
        <v>5.0999999999999996</v>
      </c>
      <c r="G40" s="12">
        <v>3</v>
      </c>
      <c r="H40" s="8">
        <v>0.95</v>
      </c>
      <c r="I40" s="12">
        <v>0</v>
      </c>
    </row>
    <row r="41" spans="2:9" ht="15" customHeight="1" x14ac:dyDescent="0.15">
      <c r="B41" t="s">
        <v>88</v>
      </c>
      <c r="C41" s="12">
        <v>20</v>
      </c>
      <c r="D41" s="8">
        <v>2.99</v>
      </c>
      <c r="E41" s="12">
        <v>9</v>
      </c>
      <c r="F41" s="8">
        <v>2.5499999999999998</v>
      </c>
      <c r="G41" s="12">
        <v>11</v>
      </c>
      <c r="H41" s="8">
        <v>3.49</v>
      </c>
      <c r="I41" s="12">
        <v>0</v>
      </c>
    </row>
    <row r="42" spans="2:9" ht="15" customHeight="1" x14ac:dyDescent="0.15">
      <c r="B42" t="s">
        <v>106</v>
      </c>
      <c r="C42" s="12">
        <v>19</v>
      </c>
      <c r="D42" s="8">
        <v>2.84</v>
      </c>
      <c r="E42" s="12">
        <v>15</v>
      </c>
      <c r="F42" s="8">
        <v>4.25</v>
      </c>
      <c r="G42" s="12">
        <v>4</v>
      </c>
      <c r="H42" s="8">
        <v>1.27</v>
      </c>
      <c r="I42" s="12">
        <v>0</v>
      </c>
    </row>
    <row r="43" spans="2:9" ht="15" customHeight="1" x14ac:dyDescent="0.15">
      <c r="B43" t="s">
        <v>78</v>
      </c>
      <c r="C43" s="12">
        <v>18</v>
      </c>
      <c r="D43" s="8">
        <v>2.69</v>
      </c>
      <c r="E43" s="12">
        <v>4</v>
      </c>
      <c r="F43" s="8">
        <v>1.1299999999999999</v>
      </c>
      <c r="G43" s="12">
        <v>14</v>
      </c>
      <c r="H43" s="8">
        <v>4.4400000000000004</v>
      </c>
      <c r="I43" s="12">
        <v>0</v>
      </c>
    </row>
    <row r="44" spans="2:9" ht="15" customHeight="1" x14ac:dyDescent="0.15">
      <c r="B44" t="s">
        <v>116</v>
      </c>
      <c r="C44" s="12">
        <v>12</v>
      </c>
      <c r="D44" s="8">
        <v>1.8</v>
      </c>
      <c r="E44" s="12">
        <v>5</v>
      </c>
      <c r="F44" s="8">
        <v>1.42</v>
      </c>
      <c r="G44" s="12">
        <v>7</v>
      </c>
      <c r="H44" s="8">
        <v>2.2200000000000002</v>
      </c>
      <c r="I44" s="12">
        <v>0</v>
      </c>
    </row>
    <row r="45" spans="2:9" ht="15" customHeight="1" x14ac:dyDescent="0.15">
      <c r="B45" t="s">
        <v>93</v>
      </c>
      <c r="C45" s="12">
        <v>12</v>
      </c>
      <c r="D45" s="8">
        <v>1.8</v>
      </c>
      <c r="E45" s="12">
        <v>12</v>
      </c>
      <c r="F45" s="8">
        <v>3.4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87</v>
      </c>
      <c r="C46" s="12">
        <v>11</v>
      </c>
      <c r="D46" s="8">
        <v>1.65</v>
      </c>
      <c r="E46" s="12">
        <v>11</v>
      </c>
      <c r="F46" s="8">
        <v>3.12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117</v>
      </c>
      <c r="C47" s="12">
        <v>9</v>
      </c>
      <c r="D47" s="8">
        <v>1.35</v>
      </c>
      <c r="E47" s="12">
        <v>1</v>
      </c>
      <c r="F47" s="8">
        <v>0.28000000000000003</v>
      </c>
      <c r="G47" s="12">
        <v>8</v>
      </c>
      <c r="H47" s="8">
        <v>2.54</v>
      </c>
      <c r="I47" s="12">
        <v>0</v>
      </c>
    </row>
    <row r="48" spans="2:9" ht="15" customHeight="1" x14ac:dyDescent="0.15">
      <c r="B48" t="s">
        <v>119</v>
      </c>
      <c r="C48" s="12">
        <v>8</v>
      </c>
      <c r="D48" s="8">
        <v>1.2</v>
      </c>
      <c r="E48" s="12">
        <v>6</v>
      </c>
      <c r="F48" s="8">
        <v>1.7</v>
      </c>
      <c r="G48" s="12">
        <v>2</v>
      </c>
      <c r="H48" s="8">
        <v>0.63</v>
      </c>
      <c r="I48" s="12">
        <v>0</v>
      </c>
    </row>
    <row r="49" spans="2:9" ht="15" customHeight="1" x14ac:dyDescent="0.15">
      <c r="B49" t="s">
        <v>122</v>
      </c>
      <c r="C49" s="12">
        <v>8</v>
      </c>
      <c r="D49" s="8">
        <v>1.2</v>
      </c>
      <c r="E49" s="12">
        <v>1</v>
      </c>
      <c r="F49" s="8">
        <v>0.28000000000000003</v>
      </c>
      <c r="G49" s="12">
        <v>7</v>
      </c>
      <c r="H49" s="8">
        <v>2.2200000000000002</v>
      </c>
      <c r="I49" s="12">
        <v>0</v>
      </c>
    </row>
    <row r="52" spans="2:9" ht="33" customHeight="1" x14ac:dyDescent="0.15">
      <c r="B52" t="s">
        <v>230</v>
      </c>
      <c r="C52" s="10" t="s">
        <v>67</v>
      </c>
      <c r="D52" s="10" t="s">
        <v>68</v>
      </c>
      <c r="E52" s="10" t="s">
        <v>69</v>
      </c>
      <c r="F52" s="10" t="s">
        <v>70</v>
      </c>
      <c r="G52" s="10" t="s">
        <v>71</v>
      </c>
      <c r="H52" s="10" t="s">
        <v>72</v>
      </c>
      <c r="I52" s="10" t="s">
        <v>73</v>
      </c>
    </row>
    <row r="53" spans="2:9" ht="15" customHeight="1" x14ac:dyDescent="0.15">
      <c r="B53" t="s">
        <v>183</v>
      </c>
      <c r="C53" s="12">
        <v>32</v>
      </c>
      <c r="D53" s="8">
        <v>4.79</v>
      </c>
      <c r="E53" s="12">
        <v>8</v>
      </c>
      <c r="F53" s="8">
        <v>2.27</v>
      </c>
      <c r="G53" s="12">
        <v>24</v>
      </c>
      <c r="H53" s="8">
        <v>7.62</v>
      </c>
      <c r="I53" s="12">
        <v>0</v>
      </c>
    </row>
    <row r="54" spans="2:9" ht="15" customHeight="1" x14ac:dyDescent="0.15">
      <c r="B54" t="s">
        <v>141</v>
      </c>
      <c r="C54" s="12">
        <v>25</v>
      </c>
      <c r="D54" s="8">
        <v>3.74</v>
      </c>
      <c r="E54" s="12">
        <v>24</v>
      </c>
      <c r="F54" s="8">
        <v>6.8</v>
      </c>
      <c r="G54" s="12">
        <v>1</v>
      </c>
      <c r="H54" s="8">
        <v>0.32</v>
      </c>
      <c r="I54" s="12">
        <v>0</v>
      </c>
    </row>
    <row r="55" spans="2:9" ht="15" customHeight="1" x14ac:dyDescent="0.15">
      <c r="B55" t="s">
        <v>130</v>
      </c>
      <c r="C55" s="12">
        <v>22</v>
      </c>
      <c r="D55" s="8">
        <v>3.29</v>
      </c>
      <c r="E55" s="12">
        <v>18</v>
      </c>
      <c r="F55" s="8">
        <v>5.0999999999999996</v>
      </c>
      <c r="G55" s="12">
        <v>4</v>
      </c>
      <c r="H55" s="8">
        <v>1.27</v>
      </c>
      <c r="I55" s="12">
        <v>0</v>
      </c>
    </row>
    <row r="56" spans="2:9" ht="15" customHeight="1" x14ac:dyDescent="0.15">
      <c r="B56" t="s">
        <v>125</v>
      </c>
      <c r="C56" s="12">
        <v>19</v>
      </c>
      <c r="D56" s="8">
        <v>2.84</v>
      </c>
      <c r="E56" s="12">
        <v>5</v>
      </c>
      <c r="F56" s="8">
        <v>1.42</v>
      </c>
      <c r="G56" s="12">
        <v>14</v>
      </c>
      <c r="H56" s="8">
        <v>4.4400000000000004</v>
      </c>
      <c r="I56" s="12">
        <v>0</v>
      </c>
    </row>
    <row r="57" spans="2:9" ht="15" customHeight="1" x14ac:dyDescent="0.15">
      <c r="B57" t="s">
        <v>166</v>
      </c>
      <c r="C57" s="12">
        <v>19</v>
      </c>
      <c r="D57" s="8">
        <v>2.84</v>
      </c>
      <c r="E57" s="12">
        <v>15</v>
      </c>
      <c r="F57" s="8">
        <v>4.25</v>
      </c>
      <c r="G57" s="12">
        <v>4</v>
      </c>
      <c r="H57" s="8">
        <v>1.27</v>
      </c>
      <c r="I57" s="12">
        <v>0</v>
      </c>
    </row>
    <row r="58" spans="2:9" ht="15" customHeight="1" x14ac:dyDescent="0.15">
      <c r="B58" t="s">
        <v>138</v>
      </c>
      <c r="C58" s="12">
        <v>18</v>
      </c>
      <c r="D58" s="8">
        <v>2.69</v>
      </c>
      <c r="E58" s="12">
        <v>18</v>
      </c>
      <c r="F58" s="8">
        <v>5.0999999999999996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143</v>
      </c>
      <c r="C59" s="12">
        <v>18</v>
      </c>
      <c r="D59" s="8">
        <v>2.69</v>
      </c>
      <c r="E59" s="12">
        <v>16</v>
      </c>
      <c r="F59" s="8">
        <v>4.53</v>
      </c>
      <c r="G59" s="12">
        <v>2</v>
      </c>
      <c r="H59" s="8">
        <v>0.63</v>
      </c>
      <c r="I59" s="12">
        <v>0</v>
      </c>
    </row>
    <row r="60" spans="2:9" ht="15" customHeight="1" x14ac:dyDescent="0.15">
      <c r="B60" t="s">
        <v>167</v>
      </c>
      <c r="C60" s="12">
        <v>15</v>
      </c>
      <c r="D60" s="8">
        <v>2.25</v>
      </c>
      <c r="E60" s="12">
        <v>8</v>
      </c>
      <c r="F60" s="8">
        <v>2.27</v>
      </c>
      <c r="G60" s="12">
        <v>7</v>
      </c>
      <c r="H60" s="8">
        <v>2.2200000000000002</v>
      </c>
      <c r="I60" s="12">
        <v>0</v>
      </c>
    </row>
    <row r="61" spans="2:9" ht="15" customHeight="1" x14ac:dyDescent="0.15">
      <c r="B61" t="s">
        <v>153</v>
      </c>
      <c r="C61" s="12">
        <v>14</v>
      </c>
      <c r="D61" s="8">
        <v>2.1</v>
      </c>
      <c r="E61" s="12">
        <v>5</v>
      </c>
      <c r="F61" s="8">
        <v>1.42</v>
      </c>
      <c r="G61" s="12">
        <v>9</v>
      </c>
      <c r="H61" s="8">
        <v>2.86</v>
      </c>
      <c r="I61" s="12">
        <v>0</v>
      </c>
    </row>
    <row r="62" spans="2:9" ht="15" customHeight="1" x14ac:dyDescent="0.15">
      <c r="B62" t="s">
        <v>150</v>
      </c>
      <c r="C62" s="12">
        <v>14</v>
      </c>
      <c r="D62" s="8">
        <v>2.1</v>
      </c>
      <c r="E62" s="12">
        <v>6</v>
      </c>
      <c r="F62" s="8">
        <v>1.7</v>
      </c>
      <c r="G62" s="12">
        <v>8</v>
      </c>
      <c r="H62" s="8">
        <v>2.54</v>
      </c>
      <c r="I62" s="12">
        <v>0</v>
      </c>
    </row>
    <row r="63" spans="2:9" ht="15" customHeight="1" x14ac:dyDescent="0.15">
      <c r="B63" t="s">
        <v>140</v>
      </c>
      <c r="C63" s="12">
        <v>14</v>
      </c>
      <c r="D63" s="8">
        <v>2.1</v>
      </c>
      <c r="E63" s="12">
        <v>14</v>
      </c>
      <c r="F63" s="8">
        <v>3.97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160</v>
      </c>
      <c r="C64" s="12">
        <v>13</v>
      </c>
      <c r="D64" s="8">
        <v>1.95</v>
      </c>
      <c r="E64" s="12">
        <v>2</v>
      </c>
      <c r="F64" s="8">
        <v>0.56999999999999995</v>
      </c>
      <c r="G64" s="12">
        <v>11</v>
      </c>
      <c r="H64" s="8">
        <v>3.49</v>
      </c>
      <c r="I64" s="12">
        <v>0</v>
      </c>
    </row>
    <row r="65" spans="2:9" ht="15" customHeight="1" x14ac:dyDescent="0.15">
      <c r="B65" t="s">
        <v>195</v>
      </c>
      <c r="C65" s="12">
        <v>13</v>
      </c>
      <c r="D65" s="8">
        <v>1.95</v>
      </c>
      <c r="E65" s="12">
        <v>4</v>
      </c>
      <c r="F65" s="8">
        <v>1.1299999999999999</v>
      </c>
      <c r="G65" s="12">
        <v>9</v>
      </c>
      <c r="H65" s="8">
        <v>2.86</v>
      </c>
      <c r="I65" s="12">
        <v>0</v>
      </c>
    </row>
    <row r="66" spans="2:9" ht="15" customHeight="1" x14ac:dyDescent="0.15">
      <c r="B66" t="s">
        <v>127</v>
      </c>
      <c r="C66" s="12">
        <v>11</v>
      </c>
      <c r="D66" s="8">
        <v>1.65</v>
      </c>
      <c r="E66" s="12">
        <v>8</v>
      </c>
      <c r="F66" s="8">
        <v>2.27</v>
      </c>
      <c r="G66" s="12">
        <v>3</v>
      </c>
      <c r="H66" s="8">
        <v>0.95</v>
      </c>
      <c r="I66" s="12">
        <v>0</v>
      </c>
    </row>
    <row r="67" spans="2:9" ht="15" customHeight="1" x14ac:dyDescent="0.15">
      <c r="B67" t="s">
        <v>132</v>
      </c>
      <c r="C67" s="12">
        <v>11</v>
      </c>
      <c r="D67" s="8">
        <v>1.65</v>
      </c>
      <c r="E67" s="12">
        <v>9</v>
      </c>
      <c r="F67" s="8">
        <v>2.5499999999999998</v>
      </c>
      <c r="G67" s="12">
        <v>2</v>
      </c>
      <c r="H67" s="8">
        <v>0.63</v>
      </c>
      <c r="I67" s="12">
        <v>0</v>
      </c>
    </row>
    <row r="68" spans="2:9" ht="15" customHeight="1" x14ac:dyDescent="0.15">
      <c r="B68" t="s">
        <v>134</v>
      </c>
      <c r="C68" s="12">
        <v>11</v>
      </c>
      <c r="D68" s="8">
        <v>1.65</v>
      </c>
      <c r="E68" s="12">
        <v>9</v>
      </c>
      <c r="F68" s="8">
        <v>2.5499999999999998</v>
      </c>
      <c r="G68" s="12">
        <v>2</v>
      </c>
      <c r="H68" s="8">
        <v>0.63</v>
      </c>
      <c r="I68" s="12">
        <v>0</v>
      </c>
    </row>
    <row r="69" spans="2:9" ht="15" customHeight="1" x14ac:dyDescent="0.15">
      <c r="B69" t="s">
        <v>158</v>
      </c>
      <c r="C69" s="12">
        <v>10</v>
      </c>
      <c r="D69" s="8">
        <v>1.5</v>
      </c>
      <c r="E69" s="12">
        <v>4</v>
      </c>
      <c r="F69" s="8">
        <v>1.1299999999999999</v>
      </c>
      <c r="G69" s="12">
        <v>6</v>
      </c>
      <c r="H69" s="8">
        <v>1.9</v>
      </c>
      <c r="I69" s="12">
        <v>0</v>
      </c>
    </row>
    <row r="70" spans="2:9" ht="15" customHeight="1" x14ac:dyDescent="0.15">
      <c r="B70" t="s">
        <v>147</v>
      </c>
      <c r="C70" s="12">
        <v>10</v>
      </c>
      <c r="D70" s="8">
        <v>1.5</v>
      </c>
      <c r="E70" s="12">
        <v>1</v>
      </c>
      <c r="F70" s="8">
        <v>0.28000000000000003</v>
      </c>
      <c r="G70" s="12">
        <v>9</v>
      </c>
      <c r="H70" s="8">
        <v>2.86</v>
      </c>
      <c r="I70" s="12">
        <v>0</v>
      </c>
    </row>
    <row r="71" spans="2:9" ht="15" customHeight="1" x14ac:dyDescent="0.15">
      <c r="B71" t="s">
        <v>139</v>
      </c>
      <c r="C71" s="12">
        <v>9</v>
      </c>
      <c r="D71" s="8">
        <v>1.35</v>
      </c>
      <c r="E71" s="12">
        <v>2</v>
      </c>
      <c r="F71" s="8">
        <v>0.56999999999999995</v>
      </c>
      <c r="G71" s="12">
        <v>7</v>
      </c>
      <c r="H71" s="8">
        <v>2.2200000000000002</v>
      </c>
      <c r="I71" s="12">
        <v>0</v>
      </c>
    </row>
    <row r="72" spans="2:9" ht="15" customHeight="1" x14ac:dyDescent="0.15">
      <c r="B72" t="s">
        <v>144</v>
      </c>
      <c r="C72" s="12">
        <v>9</v>
      </c>
      <c r="D72" s="8">
        <v>1.35</v>
      </c>
      <c r="E72" s="12">
        <v>9</v>
      </c>
      <c r="F72" s="8">
        <v>2.5499999999999998</v>
      </c>
      <c r="G72" s="12">
        <v>0</v>
      </c>
      <c r="H72" s="8">
        <v>0</v>
      </c>
      <c r="I72" s="12">
        <v>0</v>
      </c>
    </row>
    <row r="74" spans="2:9" ht="15" customHeight="1" x14ac:dyDescent="0.15">
      <c r="B74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369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84</v>
      </c>
      <c r="D6" s="8">
        <v>13.33</v>
      </c>
      <c r="E6" s="12">
        <v>28</v>
      </c>
      <c r="F6" s="8">
        <v>7.07</v>
      </c>
      <c r="G6" s="12">
        <v>56</v>
      </c>
      <c r="H6" s="8">
        <v>24.56</v>
      </c>
      <c r="I6" s="12">
        <v>0</v>
      </c>
    </row>
    <row r="7" spans="2:9" ht="15" customHeight="1" x14ac:dyDescent="0.15">
      <c r="B7" t="s">
        <v>53</v>
      </c>
      <c r="C7" s="12">
        <v>49</v>
      </c>
      <c r="D7" s="8">
        <v>7.78</v>
      </c>
      <c r="E7" s="12">
        <v>15</v>
      </c>
      <c r="F7" s="8">
        <v>3.79</v>
      </c>
      <c r="G7" s="12">
        <v>34</v>
      </c>
      <c r="H7" s="8">
        <v>14.91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1</v>
      </c>
      <c r="D9" s="8">
        <v>0.16</v>
      </c>
      <c r="E9" s="12">
        <v>0</v>
      </c>
      <c r="F9" s="8">
        <v>0</v>
      </c>
      <c r="G9" s="12">
        <v>1</v>
      </c>
      <c r="H9" s="8">
        <v>0.44</v>
      </c>
      <c r="I9" s="12">
        <v>0</v>
      </c>
    </row>
    <row r="10" spans="2:9" ht="15" customHeight="1" x14ac:dyDescent="0.15">
      <c r="B10" t="s">
        <v>56</v>
      </c>
      <c r="C10" s="12">
        <v>11</v>
      </c>
      <c r="D10" s="8">
        <v>1.75</v>
      </c>
      <c r="E10" s="12">
        <v>2</v>
      </c>
      <c r="F10" s="8">
        <v>0.51</v>
      </c>
      <c r="G10" s="12">
        <v>9</v>
      </c>
      <c r="H10" s="8">
        <v>3.95</v>
      </c>
      <c r="I10" s="12">
        <v>0</v>
      </c>
    </row>
    <row r="11" spans="2:9" ht="15" customHeight="1" x14ac:dyDescent="0.15">
      <c r="B11" t="s">
        <v>57</v>
      </c>
      <c r="C11" s="12">
        <v>130</v>
      </c>
      <c r="D11" s="8">
        <v>20.63</v>
      </c>
      <c r="E11" s="12">
        <v>78</v>
      </c>
      <c r="F11" s="8">
        <v>19.7</v>
      </c>
      <c r="G11" s="12">
        <v>52</v>
      </c>
      <c r="H11" s="8">
        <v>22.81</v>
      </c>
      <c r="I11" s="12">
        <v>0</v>
      </c>
    </row>
    <row r="12" spans="2:9" ht="15" customHeight="1" x14ac:dyDescent="0.15">
      <c r="B12" t="s">
        <v>58</v>
      </c>
      <c r="C12" s="12">
        <v>5</v>
      </c>
      <c r="D12" s="8">
        <v>0.79</v>
      </c>
      <c r="E12" s="12">
        <v>2</v>
      </c>
      <c r="F12" s="8">
        <v>0.51</v>
      </c>
      <c r="G12" s="12">
        <v>3</v>
      </c>
      <c r="H12" s="8">
        <v>1.32</v>
      </c>
      <c r="I12" s="12">
        <v>0</v>
      </c>
    </row>
    <row r="13" spans="2:9" ht="15" customHeight="1" x14ac:dyDescent="0.15">
      <c r="B13" t="s">
        <v>59</v>
      </c>
      <c r="C13" s="12">
        <v>52</v>
      </c>
      <c r="D13" s="8">
        <v>8.25</v>
      </c>
      <c r="E13" s="12">
        <v>25</v>
      </c>
      <c r="F13" s="8">
        <v>6.31</v>
      </c>
      <c r="G13" s="12">
        <v>27</v>
      </c>
      <c r="H13" s="8">
        <v>11.84</v>
      </c>
      <c r="I13" s="12">
        <v>0</v>
      </c>
    </row>
    <row r="14" spans="2:9" ht="15" customHeight="1" x14ac:dyDescent="0.15">
      <c r="B14" t="s">
        <v>60</v>
      </c>
      <c r="C14" s="12">
        <v>23</v>
      </c>
      <c r="D14" s="8">
        <v>3.65</v>
      </c>
      <c r="E14" s="12">
        <v>18</v>
      </c>
      <c r="F14" s="8">
        <v>4.55</v>
      </c>
      <c r="G14" s="12">
        <v>5</v>
      </c>
      <c r="H14" s="8">
        <v>2.19</v>
      </c>
      <c r="I14" s="12">
        <v>0</v>
      </c>
    </row>
    <row r="15" spans="2:9" ht="15" customHeight="1" x14ac:dyDescent="0.15">
      <c r="B15" t="s">
        <v>61</v>
      </c>
      <c r="C15" s="12">
        <v>92</v>
      </c>
      <c r="D15" s="8">
        <v>14.6</v>
      </c>
      <c r="E15" s="12">
        <v>84</v>
      </c>
      <c r="F15" s="8">
        <v>21.21</v>
      </c>
      <c r="G15" s="12">
        <v>7</v>
      </c>
      <c r="H15" s="8">
        <v>3.07</v>
      </c>
      <c r="I15" s="12">
        <v>1</v>
      </c>
    </row>
    <row r="16" spans="2:9" ht="15" customHeight="1" x14ac:dyDescent="0.15">
      <c r="B16" t="s">
        <v>62</v>
      </c>
      <c r="C16" s="12">
        <v>106</v>
      </c>
      <c r="D16" s="8">
        <v>16.829999999999998</v>
      </c>
      <c r="E16" s="12">
        <v>92</v>
      </c>
      <c r="F16" s="8">
        <v>23.23</v>
      </c>
      <c r="G16" s="12">
        <v>12</v>
      </c>
      <c r="H16" s="8">
        <v>5.26</v>
      </c>
      <c r="I16" s="12">
        <v>2</v>
      </c>
    </row>
    <row r="17" spans="2:9" ht="15" customHeight="1" x14ac:dyDescent="0.15">
      <c r="B17" t="s">
        <v>63</v>
      </c>
      <c r="C17" s="12">
        <v>37</v>
      </c>
      <c r="D17" s="8">
        <v>5.87</v>
      </c>
      <c r="E17" s="12">
        <v>31</v>
      </c>
      <c r="F17" s="8">
        <v>7.83</v>
      </c>
      <c r="G17" s="12">
        <v>6</v>
      </c>
      <c r="H17" s="8">
        <v>2.63</v>
      </c>
      <c r="I17" s="12">
        <v>0</v>
      </c>
    </row>
    <row r="18" spans="2:9" ht="15" customHeight="1" x14ac:dyDescent="0.15">
      <c r="B18" t="s">
        <v>64</v>
      </c>
      <c r="C18" s="12">
        <v>24</v>
      </c>
      <c r="D18" s="8">
        <v>3.81</v>
      </c>
      <c r="E18" s="12">
        <v>15</v>
      </c>
      <c r="F18" s="8">
        <v>3.79</v>
      </c>
      <c r="G18" s="12">
        <v>9</v>
      </c>
      <c r="H18" s="8">
        <v>3.95</v>
      </c>
      <c r="I18" s="12">
        <v>0</v>
      </c>
    </row>
    <row r="19" spans="2:9" ht="15" customHeight="1" x14ac:dyDescent="0.15">
      <c r="B19" t="s">
        <v>65</v>
      </c>
      <c r="C19" s="12">
        <v>16</v>
      </c>
      <c r="D19" s="8">
        <v>2.54</v>
      </c>
      <c r="E19" s="12">
        <v>6</v>
      </c>
      <c r="F19" s="8">
        <v>1.52</v>
      </c>
      <c r="G19" s="12">
        <v>7</v>
      </c>
      <c r="H19" s="8">
        <v>3.07</v>
      </c>
      <c r="I19" s="12">
        <v>3</v>
      </c>
    </row>
    <row r="20" spans="2:9" ht="15" customHeight="1" x14ac:dyDescent="0.15">
      <c r="B20" s="9" t="s">
        <v>215</v>
      </c>
      <c r="C20" s="12">
        <f>SUM(LTBL_28382[総数／事業所数])</f>
        <v>630</v>
      </c>
      <c r="E20" s="12">
        <f>SUBTOTAL(109,LTBL_28382[個人／事業所数])</f>
        <v>396</v>
      </c>
      <c r="G20" s="12">
        <f>SUBTOTAL(109,LTBL_28382[法人／事業所数])</f>
        <v>228</v>
      </c>
      <c r="I20" s="12">
        <f>SUBTOTAL(109,LTBL_28382[法人以外の団体／事業所数])</f>
        <v>6</v>
      </c>
    </row>
    <row r="21" spans="2:9" ht="15" customHeight="1" x14ac:dyDescent="0.15">
      <c r="E21" s="11">
        <f>LTBL_28382[[#Totals],[個人／事業所数]]/LTBL_28382[[#Totals],[総数／事業所数]]</f>
        <v>0.62857142857142856</v>
      </c>
      <c r="G21" s="11">
        <f>LTBL_28382[[#Totals],[法人／事業所数]]/LTBL_28382[[#Totals],[総数／事業所数]]</f>
        <v>0.3619047619047619</v>
      </c>
      <c r="I21" s="11">
        <f>LTBL_28382[[#Totals],[法人以外の団体／事業所数]]/LTBL_28382[[#Totals],[総数／事業所数]]</f>
        <v>9.5238095238095247E-3</v>
      </c>
    </row>
    <row r="23" spans="2:9" ht="33" customHeight="1" x14ac:dyDescent="0.15">
      <c r="B23" t="s">
        <v>214</v>
      </c>
      <c r="C23" s="10" t="s">
        <v>67</v>
      </c>
      <c r="D23" s="10" t="s">
        <v>221</v>
      </c>
      <c r="E23" s="10" t="s">
        <v>69</v>
      </c>
      <c r="F23" s="10" t="s">
        <v>370</v>
      </c>
      <c r="G23" s="10" t="s">
        <v>71</v>
      </c>
      <c r="H23" s="10" t="s">
        <v>223</v>
      </c>
      <c r="I23" s="10" t="s">
        <v>73</v>
      </c>
    </row>
    <row r="24" spans="2:9" ht="15" customHeight="1" x14ac:dyDescent="0.15">
      <c r="B24" t="s">
        <v>217</v>
      </c>
      <c r="C24">
        <v>0</v>
      </c>
      <c r="D24" t="s">
        <v>216</v>
      </c>
      <c r="E24">
        <v>0</v>
      </c>
      <c r="F24" t="s">
        <v>218</v>
      </c>
      <c r="G24">
        <v>0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229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89</v>
      </c>
      <c r="C29" s="12">
        <v>87</v>
      </c>
      <c r="D29" s="8">
        <v>13.81</v>
      </c>
      <c r="E29" s="12">
        <v>83</v>
      </c>
      <c r="F29" s="8">
        <v>20.96</v>
      </c>
      <c r="G29" s="12">
        <v>3</v>
      </c>
      <c r="H29" s="8">
        <v>1.32</v>
      </c>
      <c r="I29" s="12">
        <v>1</v>
      </c>
    </row>
    <row r="30" spans="2:9" ht="15" customHeight="1" x14ac:dyDescent="0.15">
      <c r="B30" t="s">
        <v>90</v>
      </c>
      <c r="C30" s="12">
        <v>86</v>
      </c>
      <c r="D30" s="8">
        <v>13.65</v>
      </c>
      <c r="E30" s="12">
        <v>75</v>
      </c>
      <c r="F30" s="8">
        <v>18.940000000000001</v>
      </c>
      <c r="G30" s="12">
        <v>11</v>
      </c>
      <c r="H30" s="8">
        <v>4.82</v>
      </c>
      <c r="I30" s="12">
        <v>0</v>
      </c>
    </row>
    <row r="31" spans="2:9" ht="15" customHeight="1" x14ac:dyDescent="0.15">
      <c r="B31" t="s">
        <v>84</v>
      </c>
      <c r="C31" s="12">
        <v>40</v>
      </c>
      <c r="D31" s="8">
        <v>6.35</v>
      </c>
      <c r="E31" s="12">
        <v>24</v>
      </c>
      <c r="F31" s="8">
        <v>6.06</v>
      </c>
      <c r="G31" s="12">
        <v>16</v>
      </c>
      <c r="H31" s="8">
        <v>7.02</v>
      </c>
      <c r="I31" s="12">
        <v>0</v>
      </c>
    </row>
    <row r="32" spans="2:9" ht="15" customHeight="1" x14ac:dyDescent="0.15">
      <c r="B32" t="s">
        <v>74</v>
      </c>
      <c r="C32" s="12">
        <v>38</v>
      </c>
      <c r="D32" s="8">
        <v>6.03</v>
      </c>
      <c r="E32" s="12">
        <v>5</v>
      </c>
      <c r="F32" s="8">
        <v>1.26</v>
      </c>
      <c r="G32" s="12">
        <v>33</v>
      </c>
      <c r="H32" s="8">
        <v>14.47</v>
      </c>
      <c r="I32" s="12">
        <v>0</v>
      </c>
    </row>
    <row r="33" spans="2:9" ht="15" customHeight="1" x14ac:dyDescent="0.15">
      <c r="B33" t="s">
        <v>92</v>
      </c>
      <c r="C33" s="12">
        <v>37</v>
      </c>
      <c r="D33" s="8">
        <v>5.87</v>
      </c>
      <c r="E33" s="12">
        <v>31</v>
      </c>
      <c r="F33" s="8">
        <v>7.83</v>
      </c>
      <c r="G33" s="12">
        <v>6</v>
      </c>
      <c r="H33" s="8">
        <v>2.63</v>
      </c>
      <c r="I33" s="12">
        <v>0</v>
      </c>
    </row>
    <row r="34" spans="2:9" ht="15" customHeight="1" x14ac:dyDescent="0.15">
      <c r="B34" t="s">
        <v>86</v>
      </c>
      <c r="C34" s="12">
        <v>32</v>
      </c>
      <c r="D34" s="8">
        <v>5.08</v>
      </c>
      <c r="E34" s="12">
        <v>23</v>
      </c>
      <c r="F34" s="8">
        <v>5.81</v>
      </c>
      <c r="G34" s="12">
        <v>9</v>
      </c>
      <c r="H34" s="8">
        <v>3.95</v>
      </c>
      <c r="I34" s="12">
        <v>0</v>
      </c>
    </row>
    <row r="35" spans="2:9" ht="15" customHeight="1" x14ac:dyDescent="0.15">
      <c r="B35" t="s">
        <v>75</v>
      </c>
      <c r="C35" s="12">
        <v>29</v>
      </c>
      <c r="D35" s="8">
        <v>4.5999999999999996</v>
      </c>
      <c r="E35" s="12">
        <v>18</v>
      </c>
      <c r="F35" s="8">
        <v>4.55</v>
      </c>
      <c r="G35" s="12">
        <v>11</v>
      </c>
      <c r="H35" s="8">
        <v>4.82</v>
      </c>
      <c r="I35" s="12">
        <v>0</v>
      </c>
    </row>
    <row r="36" spans="2:9" ht="15" customHeight="1" x14ac:dyDescent="0.15">
      <c r="B36" t="s">
        <v>82</v>
      </c>
      <c r="C36" s="12">
        <v>25</v>
      </c>
      <c r="D36" s="8">
        <v>3.97</v>
      </c>
      <c r="E36" s="12">
        <v>21</v>
      </c>
      <c r="F36" s="8">
        <v>5.3</v>
      </c>
      <c r="G36" s="12">
        <v>4</v>
      </c>
      <c r="H36" s="8">
        <v>1.75</v>
      </c>
      <c r="I36" s="12">
        <v>0</v>
      </c>
    </row>
    <row r="37" spans="2:9" ht="15" customHeight="1" x14ac:dyDescent="0.15">
      <c r="B37" t="s">
        <v>83</v>
      </c>
      <c r="C37" s="12">
        <v>23</v>
      </c>
      <c r="D37" s="8">
        <v>3.65</v>
      </c>
      <c r="E37" s="12">
        <v>14</v>
      </c>
      <c r="F37" s="8">
        <v>3.54</v>
      </c>
      <c r="G37" s="12">
        <v>9</v>
      </c>
      <c r="H37" s="8">
        <v>3.95</v>
      </c>
      <c r="I37" s="12">
        <v>0</v>
      </c>
    </row>
    <row r="38" spans="2:9" ht="15" customHeight="1" x14ac:dyDescent="0.15">
      <c r="B38" t="s">
        <v>91</v>
      </c>
      <c r="C38" s="12">
        <v>18</v>
      </c>
      <c r="D38" s="8">
        <v>2.86</v>
      </c>
      <c r="E38" s="12">
        <v>15</v>
      </c>
      <c r="F38" s="8">
        <v>3.79</v>
      </c>
      <c r="G38" s="12">
        <v>1</v>
      </c>
      <c r="H38" s="8">
        <v>0.44</v>
      </c>
      <c r="I38" s="12">
        <v>2</v>
      </c>
    </row>
    <row r="39" spans="2:9" ht="15" customHeight="1" x14ac:dyDescent="0.15">
      <c r="B39" t="s">
        <v>93</v>
      </c>
      <c r="C39" s="12">
        <v>18</v>
      </c>
      <c r="D39" s="8">
        <v>2.86</v>
      </c>
      <c r="E39" s="12">
        <v>15</v>
      </c>
      <c r="F39" s="8">
        <v>3.79</v>
      </c>
      <c r="G39" s="12">
        <v>3</v>
      </c>
      <c r="H39" s="8">
        <v>1.32</v>
      </c>
      <c r="I39" s="12">
        <v>0</v>
      </c>
    </row>
    <row r="40" spans="2:9" ht="15" customHeight="1" x14ac:dyDescent="0.15">
      <c r="B40" t="s">
        <v>76</v>
      </c>
      <c r="C40" s="12">
        <v>17</v>
      </c>
      <c r="D40" s="8">
        <v>2.7</v>
      </c>
      <c r="E40" s="12">
        <v>5</v>
      </c>
      <c r="F40" s="8">
        <v>1.26</v>
      </c>
      <c r="G40" s="12">
        <v>12</v>
      </c>
      <c r="H40" s="8">
        <v>5.26</v>
      </c>
      <c r="I40" s="12">
        <v>0</v>
      </c>
    </row>
    <row r="41" spans="2:9" ht="15" customHeight="1" x14ac:dyDescent="0.15">
      <c r="B41" t="s">
        <v>85</v>
      </c>
      <c r="C41" s="12">
        <v>17</v>
      </c>
      <c r="D41" s="8">
        <v>2.7</v>
      </c>
      <c r="E41" s="12">
        <v>2</v>
      </c>
      <c r="F41" s="8">
        <v>0.51</v>
      </c>
      <c r="G41" s="12">
        <v>15</v>
      </c>
      <c r="H41" s="8">
        <v>6.58</v>
      </c>
      <c r="I41" s="12">
        <v>0</v>
      </c>
    </row>
    <row r="42" spans="2:9" ht="15" customHeight="1" x14ac:dyDescent="0.15">
      <c r="B42" t="s">
        <v>87</v>
      </c>
      <c r="C42" s="12">
        <v>14</v>
      </c>
      <c r="D42" s="8">
        <v>2.2200000000000002</v>
      </c>
      <c r="E42" s="12">
        <v>13</v>
      </c>
      <c r="F42" s="8">
        <v>3.28</v>
      </c>
      <c r="G42" s="12">
        <v>1</v>
      </c>
      <c r="H42" s="8">
        <v>0.44</v>
      </c>
      <c r="I42" s="12">
        <v>0</v>
      </c>
    </row>
    <row r="43" spans="2:9" ht="15" customHeight="1" x14ac:dyDescent="0.15">
      <c r="B43" t="s">
        <v>78</v>
      </c>
      <c r="C43" s="12">
        <v>11</v>
      </c>
      <c r="D43" s="8">
        <v>1.75</v>
      </c>
      <c r="E43" s="12">
        <v>4</v>
      </c>
      <c r="F43" s="8">
        <v>1.01</v>
      </c>
      <c r="G43" s="12">
        <v>7</v>
      </c>
      <c r="H43" s="8">
        <v>3.07</v>
      </c>
      <c r="I43" s="12">
        <v>0</v>
      </c>
    </row>
    <row r="44" spans="2:9" ht="15" customHeight="1" x14ac:dyDescent="0.15">
      <c r="B44" t="s">
        <v>77</v>
      </c>
      <c r="C44" s="12">
        <v>10</v>
      </c>
      <c r="D44" s="8">
        <v>1.59</v>
      </c>
      <c r="E44" s="12">
        <v>3</v>
      </c>
      <c r="F44" s="8">
        <v>0.76</v>
      </c>
      <c r="G44" s="12">
        <v>7</v>
      </c>
      <c r="H44" s="8">
        <v>3.07</v>
      </c>
      <c r="I44" s="12">
        <v>0</v>
      </c>
    </row>
    <row r="45" spans="2:9" ht="15" customHeight="1" x14ac:dyDescent="0.15">
      <c r="B45" t="s">
        <v>101</v>
      </c>
      <c r="C45" s="12">
        <v>8</v>
      </c>
      <c r="D45" s="8">
        <v>1.27</v>
      </c>
      <c r="E45" s="12">
        <v>3</v>
      </c>
      <c r="F45" s="8">
        <v>0.76</v>
      </c>
      <c r="G45" s="12">
        <v>5</v>
      </c>
      <c r="H45" s="8">
        <v>2.19</v>
      </c>
      <c r="I45" s="12">
        <v>0</v>
      </c>
    </row>
    <row r="46" spans="2:9" ht="15" customHeight="1" x14ac:dyDescent="0.15">
      <c r="B46" t="s">
        <v>81</v>
      </c>
      <c r="C46" s="12">
        <v>8</v>
      </c>
      <c r="D46" s="8">
        <v>1.27</v>
      </c>
      <c r="E46" s="12">
        <v>6</v>
      </c>
      <c r="F46" s="8">
        <v>1.52</v>
      </c>
      <c r="G46" s="12">
        <v>2</v>
      </c>
      <c r="H46" s="8">
        <v>0.88</v>
      </c>
      <c r="I46" s="12">
        <v>0</v>
      </c>
    </row>
    <row r="47" spans="2:9" ht="15" customHeight="1" x14ac:dyDescent="0.15">
      <c r="B47" t="s">
        <v>88</v>
      </c>
      <c r="C47" s="12">
        <v>8</v>
      </c>
      <c r="D47" s="8">
        <v>1.27</v>
      </c>
      <c r="E47" s="12">
        <v>5</v>
      </c>
      <c r="F47" s="8">
        <v>1.26</v>
      </c>
      <c r="G47" s="12">
        <v>3</v>
      </c>
      <c r="H47" s="8">
        <v>1.32</v>
      </c>
      <c r="I47" s="12">
        <v>0</v>
      </c>
    </row>
    <row r="48" spans="2:9" ht="15" customHeight="1" x14ac:dyDescent="0.15">
      <c r="B48" t="s">
        <v>79</v>
      </c>
      <c r="C48" s="12">
        <v>7</v>
      </c>
      <c r="D48" s="8">
        <v>1.1100000000000001</v>
      </c>
      <c r="E48" s="12">
        <v>3</v>
      </c>
      <c r="F48" s="8">
        <v>0.76</v>
      </c>
      <c r="G48" s="12">
        <v>4</v>
      </c>
      <c r="H48" s="8">
        <v>1.75</v>
      </c>
      <c r="I48" s="12">
        <v>0</v>
      </c>
    </row>
    <row r="51" spans="2:9" ht="33" customHeight="1" x14ac:dyDescent="0.15">
      <c r="B51" t="s">
        <v>230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141</v>
      </c>
      <c r="C52" s="12">
        <v>43</v>
      </c>
      <c r="D52" s="8">
        <v>6.83</v>
      </c>
      <c r="E52" s="12">
        <v>40</v>
      </c>
      <c r="F52" s="8">
        <v>10.1</v>
      </c>
      <c r="G52" s="12">
        <v>3</v>
      </c>
      <c r="H52" s="8">
        <v>1.32</v>
      </c>
      <c r="I52" s="12">
        <v>0</v>
      </c>
    </row>
    <row r="53" spans="2:9" ht="15" customHeight="1" x14ac:dyDescent="0.15">
      <c r="B53" t="s">
        <v>138</v>
      </c>
      <c r="C53" s="12">
        <v>28</v>
      </c>
      <c r="D53" s="8">
        <v>4.4400000000000004</v>
      </c>
      <c r="E53" s="12">
        <v>26</v>
      </c>
      <c r="F53" s="8">
        <v>6.57</v>
      </c>
      <c r="G53" s="12">
        <v>1</v>
      </c>
      <c r="H53" s="8">
        <v>0.44</v>
      </c>
      <c r="I53" s="12">
        <v>1</v>
      </c>
    </row>
    <row r="54" spans="2:9" ht="15" customHeight="1" x14ac:dyDescent="0.15">
      <c r="B54" t="s">
        <v>125</v>
      </c>
      <c r="C54" s="12">
        <v>21</v>
      </c>
      <c r="D54" s="8">
        <v>3.33</v>
      </c>
      <c r="E54" s="12">
        <v>3</v>
      </c>
      <c r="F54" s="8">
        <v>0.76</v>
      </c>
      <c r="G54" s="12">
        <v>18</v>
      </c>
      <c r="H54" s="8">
        <v>7.89</v>
      </c>
      <c r="I54" s="12">
        <v>0</v>
      </c>
    </row>
    <row r="55" spans="2:9" ht="15" customHeight="1" x14ac:dyDescent="0.15">
      <c r="B55" t="s">
        <v>140</v>
      </c>
      <c r="C55" s="12">
        <v>20</v>
      </c>
      <c r="D55" s="8">
        <v>3.17</v>
      </c>
      <c r="E55" s="12">
        <v>20</v>
      </c>
      <c r="F55" s="8">
        <v>5.05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136</v>
      </c>
      <c r="C56" s="12">
        <v>19</v>
      </c>
      <c r="D56" s="8">
        <v>3.02</v>
      </c>
      <c r="E56" s="12">
        <v>19</v>
      </c>
      <c r="F56" s="8">
        <v>4.8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143</v>
      </c>
      <c r="C57" s="12">
        <v>19</v>
      </c>
      <c r="D57" s="8">
        <v>3.02</v>
      </c>
      <c r="E57" s="12">
        <v>17</v>
      </c>
      <c r="F57" s="8">
        <v>4.29</v>
      </c>
      <c r="G57" s="12">
        <v>2</v>
      </c>
      <c r="H57" s="8">
        <v>0.88</v>
      </c>
      <c r="I57" s="12">
        <v>0</v>
      </c>
    </row>
    <row r="58" spans="2:9" ht="15" customHeight="1" x14ac:dyDescent="0.15">
      <c r="B58" t="s">
        <v>134</v>
      </c>
      <c r="C58" s="12">
        <v>18</v>
      </c>
      <c r="D58" s="8">
        <v>2.86</v>
      </c>
      <c r="E58" s="12">
        <v>14</v>
      </c>
      <c r="F58" s="8">
        <v>3.54</v>
      </c>
      <c r="G58" s="12">
        <v>4</v>
      </c>
      <c r="H58" s="8">
        <v>1.75</v>
      </c>
      <c r="I58" s="12">
        <v>0</v>
      </c>
    </row>
    <row r="59" spans="2:9" ht="15" customHeight="1" x14ac:dyDescent="0.15">
      <c r="B59" t="s">
        <v>132</v>
      </c>
      <c r="C59" s="12">
        <v>17</v>
      </c>
      <c r="D59" s="8">
        <v>2.7</v>
      </c>
      <c r="E59" s="12">
        <v>12</v>
      </c>
      <c r="F59" s="8">
        <v>3.03</v>
      </c>
      <c r="G59" s="12">
        <v>5</v>
      </c>
      <c r="H59" s="8">
        <v>2.19</v>
      </c>
      <c r="I59" s="12">
        <v>0</v>
      </c>
    </row>
    <row r="60" spans="2:9" ht="15" customHeight="1" x14ac:dyDescent="0.15">
      <c r="B60" t="s">
        <v>142</v>
      </c>
      <c r="C60" s="12">
        <v>16</v>
      </c>
      <c r="D60" s="8">
        <v>2.54</v>
      </c>
      <c r="E60" s="12">
        <v>14</v>
      </c>
      <c r="F60" s="8">
        <v>3.54</v>
      </c>
      <c r="G60" s="12">
        <v>2</v>
      </c>
      <c r="H60" s="8">
        <v>0.88</v>
      </c>
      <c r="I60" s="12">
        <v>0</v>
      </c>
    </row>
    <row r="61" spans="2:9" ht="15" customHeight="1" x14ac:dyDescent="0.15">
      <c r="B61" t="s">
        <v>130</v>
      </c>
      <c r="C61" s="12">
        <v>15</v>
      </c>
      <c r="D61" s="8">
        <v>2.38</v>
      </c>
      <c r="E61" s="12">
        <v>10</v>
      </c>
      <c r="F61" s="8">
        <v>2.5299999999999998</v>
      </c>
      <c r="G61" s="12">
        <v>5</v>
      </c>
      <c r="H61" s="8">
        <v>2.19</v>
      </c>
      <c r="I61" s="12">
        <v>0</v>
      </c>
    </row>
    <row r="62" spans="2:9" ht="15" customHeight="1" x14ac:dyDescent="0.15">
      <c r="B62" t="s">
        <v>144</v>
      </c>
      <c r="C62" s="12">
        <v>15</v>
      </c>
      <c r="D62" s="8">
        <v>2.38</v>
      </c>
      <c r="E62" s="12">
        <v>12</v>
      </c>
      <c r="F62" s="8">
        <v>3.03</v>
      </c>
      <c r="G62" s="12">
        <v>3</v>
      </c>
      <c r="H62" s="8">
        <v>1.32</v>
      </c>
      <c r="I62" s="12">
        <v>0</v>
      </c>
    </row>
    <row r="63" spans="2:9" ht="15" customHeight="1" x14ac:dyDescent="0.15">
      <c r="B63" t="s">
        <v>137</v>
      </c>
      <c r="C63" s="12">
        <v>13</v>
      </c>
      <c r="D63" s="8">
        <v>2.06</v>
      </c>
      <c r="E63" s="12">
        <v>13</v>
      </c>
      <c r="F63" s="8">
        <v>3.28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207</v>
      </c>
      <c r="C64" s="12">
        <v>13</v>
      </c>
      <c r="D64" s="8">
        <v>2.06</v>
      </c>
      <c r="E64" s="12">
        <v>11</v>
      </c>
      <c r="F64" s="8">
        <v>2.78</v>
      </c>
      <c r="G64" s="12">
        <v>0</v>
      </c>
      <c r="H64" s="8">
        <v>0</v>
      </c>
      <c r="I64" s="12">
        <v>2</v>
      </c>
    </row>
    <row r="65" spans="2:9" ht="15" customHeight="1" x14ac:dyDescent="0.15">
      <c r="B65" t="s">
        <v>139</v>
      </c>
      <c r="C65" s="12">
        <v>12</v>
      </c>
      <c r="D65" s="8">
        <v>1.9</v>
      </c>
      <c r="E65" s="12">
        <v>8</v>
      </c>
      <c r="F65" s="8">
        <v>2.02</v>
      </c>
      <c r="G65" s="12">
        <v>4</v>
      </c>
      <c r="H65" s="8">
        <v>1.75</v>
      </c>
      <c r="I65" s="12">
        <v>0</v>
      </c>
    </row>
    <row r="66" spans="2:9" ht="15" customHeight="1" x14ac:dyDescent="0.15">
      <c r="B66" t="s">
        <v>165</v>
      </c>
      <c r="C66" s="12">
        <v>11</v>
      </c>
      <c r="D66" s="8">
        <v>1.75</v>
      </c>
      <c r="E66" s="12">
        <v>7</v>
      </c>
      <c r="F66" s="8">
        <v>1.77</v>
      </c>
      <c r="G66" s="12">
        <v>4</v>
      </c>
      <c r="H66" s="8">
        <v>1.75</v>
      </c>
      <c r="I66" s="12">
        <v>0</v>
      </c>
    </row>
    <row r="67" spans="2:9" ht="15" customHeight="1" x14ac:dyDescent="0.15">
      <c r="B67" t="s">
        <v>131</v>
      </c>
      <c r="C67" s="12">
        <v>10</v>
      </c>
      <c r="D67" s="8">
        <v>1.59</v>
      </c>
      <c r="E67" s="12">
        <v>4</v>
      </c>
      <c r="F67" s="8">
        <v>1.01</v>
      </c>
      <c r="G67" s="12">
        <v>6</v>
      </c>
      <c r="H67" s="8">
        <v>2.63</v>
      </c>
      <c r="I67" s="12">
        <v>0</v>
      </c>
    </row>
    <row r="68" spans="2:9" ht="15" customHeight="1" x14ac:dyDescent="0.15">
      <c r="B68" t="s">
        <v>133</v>
      </c>
      <c r="C68" s="12">
        <v>10</v>
      </c>
      <c r="D68" s="8">
        <v>1.59</v>
      </c>
      <c r="E68" s="12">
        <v>1</v>
      </c>
      <c r="F68" s="8">
        <v>0.25</v>
      </c>
      <c r="G68" s="12">
        <v>9</v>
      </c>
      <c r="H68" s="8">
        <v>3.95</v>
      </c>
      <c r="I68" s="12">
        <v>0</v>
      </c>
    </row>
    <row r="69" spans="2:9" ht="15" customHeight="1" x14ac:dyDescent="0.15">
      <c r="B69" t="s">
        <v>148</v>
      </c>
      <c r="C69" s="12">
        <v>10</v>
      </c>
      <c r="D69" s="8">
        <v>1.59</v>
      </c>
      <c r="E69" s="12">
        <v>9</v>
      </c>
      <c r="F69" s="8">
        <v>2.27</v>
      </c>
      <c r="G69" s="12">
        <v>1</v>
      </c>
      <c r="H69" s="8">
        <v>0.44</v>
      </c>
      <c r="I69" s="12">
        <v>0</v>
      </c>
    </row>
    <row r="70" spans="2:9" ht="15" customHeight="1" x14ac:dyDescent="0.15">
      <c r="B70" t="s">
        <v>151</v>
      </c>
      <c r="C70" s="12">
        <v>10</v>
      </c>
      <c r="D70" s="8">
        <v>1.59</v>
      </c>
      <c r="E70" s="12">
        <v>10</v>
      </c>
      <c r="F70" s="8">
        <v>2.5299999999999998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135</v>
      </c>
      <c r="C71" s="12">
        <v>9</v>
      </c>
      <c r="D71" s="8">
        <v>1.43</v>
      </c>
      <c r="E71" s="12">
        <v>8</v>
      </c>
      <c r="F71" s="8">
        <v>2.02</v>
      </c>
      <c r="G71" s="12">
        <v>1</v>
      </c>
      <c r="H71" s="8">
        <v>0.44</v>
      </c>
      <c r="I71" s="12">
        <v>0</v>
      </c>
    </row>
    <row r="73" spans="2:9" ht="15" customHeight="1" x14ac:dyDescent="0.15">
      <c r="B73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371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83</v>
      </c>
      <c r="D6" s="8">
        <v>25.86</v>
      </c>
      <c r="E6" s="12">
        <v>60</v>
      </c>
      <c r="F6" s="8">
        <v>25.64</v>
      </c>
      <c r="G6" s="12">
        <v>23</v>
      </c>
      <c r="H6" s="8">
        <v>26.74</v>
      </c>
      <c r="I6" s="12">
        <v>0</v>
      </c>
    </row>
    <row r="7" spans="2:9" ht="15" customHeight="1" x14ac:dyDescent="0.15">
      <c r="B7" t="s">
        <v>53</v>
      </c>
      <c r="C7" s="12">
        <v>83</v>
      </c>
      <c r="D7" s="8">
        <v>25.86</v>
      </c>
      <c r="E7" s="12">
        <v>47</v>
      </c>
      <c r="F7" s="8">
        <v>20.09</v>
      </c>
      <c r="G7" s="12">
        <v>36</v>
      </c>
      <c r="H7" s="8">
        <v>41.86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1</v>
      </c>
      <c r="D9" s="8">
        <v>0.31</v>
      </c>
      <c r="E9" s="12">
        <v>0</v>
      </c>
      <c r="F9" s="8">
        <v>0</v>
      </c>
      <c r="G9" s="12">
        <v>1</v>
      </c>
      <c r="H9" s="8">
        <v>1.1599999999999999</v>
      </c>
      <c r="I9" s="12">
        <v>0</v>
      </c>
    </row>
    <row r="10" spans="2:9" ht="15" customHeight="1" x14ac:dyDescent="0.15">
      <c r="B10" t="s">
        <v>56</v>
      </c>
      <c r="C10" s="12">
        <v>2</v>
      </c>
      <c r="D10" s="8">
        <v>0.62</v>
      </c>
      <c r="E10" s="12">
        <v>1</v>
      </c>
      <c r="F10" s="8">
        <v>0.43</v>
      </c>
      <c r="G10" s="12">
        <v>1</v>
      </c>
      <c r="H10" s="8">
        <v>1.1599999999999999</v>
      </c>
      <c r="I10" s="12">
        <v>0</v>
      </c>
    </row>
    <row r="11" spans="2:9" ht="15" customHeight="1" x14ac:dyDescent="0.15">
      <c r="B11" t="s">
        <v>57</v>
      </c>
      <c r="C11" s="12">
        <v>60</v>
      </c>
      <c r="D11" s="8">
        <v>18.690000000000001</v>
      </c>
      <c r="E11" s="12">
        <v>47</v>
      </c>
      <c r="F11" s="8">
        <v>20.09</v>
      </c>
      <c r="G11" s="12">
        <v>13</v>
      </c>
      <c r="H11" s="8">
        <v>15.12</v>
      </c>
      <c r="I11" s="12">
        <v>0</v>
      </c>
    </row>
    <row r="12" spans="2:9" ht="15" customHeight="1" x14ac:dyDescent="0.15">
      <c r="B12" t="s">
        <v>58</v>
      </c>
      <c r="C12" s="12">
        <v>1</v>
      </c>
      <c r="D12" s="8">
        <v>0.31</v>
      </c>
      <c r="E12" s="12">
        <v>1</v>
      </c>
      <c r="F12" s="8">
        <v>0.43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59</v>
      </c>
      <c r="C13" s="12">
        <v>6</v>
      </c>
      <c r="D13" s="8">
        <v>1.87</v>
      </c>
      <c r="E13" s="12">
        <v>2</v>
      </c>
      <c r="F13" s="8">
        <v>0.85</v>
      </c>
      <c r="G13" s="12">
        <v>3</v>
      </c>
      <c r="H13" s="8">
        <v>3.49</v>
      </c>
      <c r="I13" s="12">
        <v>1</v>
      </c>
    </row>
    <row r="14" spans="2:9" ht="15" customHeight="1" x14ac:dyDescent="0.15">
      <c r="B14" t="s">
        <v>60</v>
      </c>
      <c r="C14" s="12">
        <v>11</v>
      </c>
      <c r="D14" s="8">
        <v>3.43</v>
      </c>
      <c r="E14" s="12">
        <v>8</v>
      </c>
      <c r="F14" s="8">
        <v>3.42</v>
      </c>
      <c r="G14" s="12">
        <v>3</v>
      </c>
      <c r="H14" s="8">
        <v>3.49</v>
      </c>
      <c r="I14" s="12">
        <v>0</v>
      </c>
    </row>
    <row r="15" spans="2:9" ht="15" customHeight="1" x14ac:dyDescent="0.15">
      <c r="B15" t="s">
        <v>61</v>
      </c>
      <c r="C15" s="12">
        <v>17</v>
      </c>
      <c r="D15" s="8">
        <v>5.3</v>
      </c>
      <c r="E15" s="12">
        <v>16</v>
      </c>
      <c r="F15" s="8">
        <v>6.84</v>
      </c>
      <c r="G15" s="12">
        <v>1</v>
      </c>
      <c r="H15" s="8">
        <v>1.1599999999999999</v>
      </c>
      <c r="I15" s="12">
        <v>0</v>
      </c>
    </row>
    <row r="16" spans="2:9" ht="15" customHeight="1" x14ac:dyDescent="0.15">
      <c r="B16" t="s">
        <v>62</v>
      </c>
      <c r="C16" s="12">
        <v>32</v>
      </c>
      <c r="D16" s="8">
        <v>9.9700000000000006</v>
      </c>
      <c r="E16" s="12">
        <v>28</v>
      </c>
      <c r="F16" s="8">
        <v>11.97</v>
      </c>
      <c r="G16" s="12">
        <v>4</v>
      </c>
      <c r="H16" s="8">
        <v>4.6500000000000004</v>
      </c>
      <c r="I16" s="12">
        <v>0</v>
      </c>
    </row>
    <row r="17" spans="2:9" ht="15" customHeight="1" x14ac:dyDescent="0.15">
      <c r="B17" t="s">
        <v>63</v>
      </c>
      <c r="C17" s="12">
        <v>9</v>
      </c>
      <c r="D17" s="8">
        <v>2.8</v>
      </c>
      <c r="E17" s="12">
        <v>9</v>
      </c>
      <c r="F17" s="8">
        <v>3.85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64</v>
      </c>
      <c r="C18" s="12">
        <v>6</v>
      </c>
      <c r="D18" s="8">
        <v>1.87</v>
      </c>
      <c r="E18" s="12">
        <v>6</v>
      </c>
      <c r="F18" s="8">
        <v>2.56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65</v>
      </c>
      <c r="C19" s="12">
        <v>10</v>
      </c>
      <c r="D19" s="8">
        <v>3.12</v>
      </c>
      <c r="E19" s="12">
        <v>9</v>
      </c>
      <c r="F19" s="8">
        <v>3.85</v>
      </c>
      <c r="G19" s="12">
        <v>1</v>
      </c>
      <c r="H19" s="8">
        <v>1.1599999999999999</v>
      </c>
      <c r="I19" s="12">
        <v>0</v>
      </c>
    </row>
    <row r="20" spans="2:9" ht="15" customHeight="1" x14ac:dyDescent="0.15">
      <c r="B20" s="9" t="s">
        <v>215</v>
      </c>
      <c r="C20" s="12">
        <f>SUM(LTBL_28442[総数／事業所数])</f>
        <v>321</v>
      </c>
      <c r="E20" s="12">
        <f>SUBTOTAL(109,LTBL_28442[個人／事業所数])</f>
        <v>234</v>
      </c>
      <c r="G20" s="12">
        <f>SUBTOTAL(109,LTBL_28442[法人／事業所数])</f>
        <v>86</v>
      </c>
      <c r="I20" s="12">
        <f>SUBTOTAL(109,LTBL_28442[法人以外の団体／事業所数])</f>
        <v>1</v>
      </c>
    </row>
    <row r="21" spans="2:9" ht="15" customHeight="1" x14ac:dyDescent="0.15">
      <c r="E21" s="11">
        <f>LTBL_28442[[#Totals],[個人／事業所数]]/LTBL_28442[[#Totals],[総数／事業所数]]</f>
        <v>0.7289719626168224</v>
      </c>
      <c r="G21" s="11">
        <f>LTBL_28442[[#Totals],[法人／事業所数]]/LTBL_28442[[#Totals],[総数／事業所数]]</f>
        <v>0.26791277258566976</v>
      </c>
      <c r="I21" s="11">
        <f>LTBL_28442[[#Totals],[法人以外の団体／事業所数]]/LTBL_28442[[#Totals],[総数／事業所数]]</f>
        <v>3.1152647975077881E-3</v>
      </c>
    </row>
    <row r="23" spans="2:9" ht="33" customHeight="1" x14ac:dyDescent="0.15">
      <c r="B23" t="s">
        <v>214</v>
      </c>
      <c r="C23" s="10" t="s">
        <v>67</v>
      </c>
      <c r="D23" s="10" t="s">
        <v>372</v>
      </c>
      <c r="E23" s="10" t="s">
        <v>69</v>
      </c>
      <c r="F23" s="10" t="s">
        <v>373</v>
      </c>
      <c r="G23" s="10" t="s">
        <v>71</v>
      </c>
      <c r="H23" s="10" t="s">
        <v>223</v>
      </c>
      <c r="I23" s="10" t="s">
        <v>73</v>
      </c>
    </row>
    <row r="24" spans="2:9" ht="15" customHeight="1" x14ac:dyDescent="0.15">
      <c r="B24" t="s">
        <v>217</v>
      </c>
      <c r="C24">
        <v>5</v>
      </c>
      <c r="D24" t="s">
        <v>216</v>
      </c>
      <c r="E24">
        <v>0</v>
      </c>
      <c r="F24" t="s">
        <v>218</v>
      </c>
      <c r="G24">
        <v>3</v>
      </c>
      <c r="H24" t="s">
        <v>219</v>
      </c>
      <c r="I24">
        <v>2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229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74</v>
      </c>
      <c r="C29" s="12">
        <v>45</v>
      </c>
      <c r="D29" s="8">
        <v>14.02</v>
      </c>
      <c r="E29" s="12">
        <v>25</v>
      </c>
      <c r="F29" s="8">
        <v>10.68</v>
      </c>
      <c r="G29" s="12">
        <v>20</v>
      </c>
      <c r="H29" s="8">
        <v>23.26</v>
      </c>
      <c r="I29" s="12">
        <v>0</v>
      </c>
    </row>
    <row r="30" spans="2:9" ht="15" customHeight="1" x14ac:dyDescent="0.15">
      <c r="B30" t="s">
        <v>90</v>
      </c>
      <c r="C30" s="12">
        <v>29</v>
      </c>
      <c r="D30" s="8">
        <v>9.0299999999999994</v>
      </c>
      <c r="E30" s="12">
        <v>26</v>
      </c>
      <c r="F30" s="8">
        <v>11.11</v>
      </c>
      <c r="G30" s="12">
        <v>3</v>
      </c>
      <c r="H30" s="8">
        <v>3.49</v>
      </c>
      <c r="I30" s="12">
        <v>0</v>
      </c>
    </row>
    <row r="31" spans="2:9" ht="15" customHeight="1" x14ac:dyDescent="0.15">
      <c r="B31" t="s">
        <v>75</v>
      </c>
      <c r="C31" s="12">
        <v>27</v>
      </c>
      <c r="D31" s="8">
        <v>8.41</v>
      </c>
      <c r="E31" s="12">
        <v>24</v>
      </c>
      <c r="F31" s="8">
        <v>10.26</v>
      </c>
      <c r="G31" s="12">
        <v>3</v>
      </c>
      <c r="H31" s="8">
        <v>3.49</v>
      </c>
      <c r="I31" s="12">
        <v>0</v>
      </c>
    </row>
    <row r="32" spans="2:9" ht="15" customHeight="1" x14ac:dyDescent="0.15">
      <c r="B32" t="s">
        <v>84</v>
      </c>
      <c r="C32" s="12">
        <v>26</v>
      </c>
      <c r="D32" s="8">
        <v>8.1</v>
      </c>
      <c r="E32" s="12">
        <v>20</v>
      </c>
      <c r="F32" s="8">
        <v>8.5500000000000007</v>
      </c>
      <c r="G32" s="12">
        <v>6</v>
      </c>
      <c r="H32" s="8">
        <v>6.98</v>
      </c>
      <c r="I32" s="12">
        <v>0</v>
      </c>
    </row>
    <row r="33" spans="2:9" ht="15" customHeight="1" x14ac:dyDescent="0.15">
      <c r="B33" t="s">
        <v>89</v>
      </c>
      <c r="C33" s="12">
        <v>17</v>
      </c>
      <c r="D33" s="8">
        <v>5.3</v>
      </c>
      <c r="E33" s="12">
        <v>16</v>
      </c>
      <c r="F33" s="8">
        <v>6.84</v>
      </c>
      <c r="G33" s="12">
        <v>1</v>
      </c>
      <c r="H33" s="8">
        <v>1.1599999999999999</v>
      </c>
      <c r="I33" s="12">
        <v>0</v>
      </c>
    </row>
    <row r="34" spans="2:9" ht="15" customHeight="1" x14ac:dyDescent="0.15">
      <c r="B34" t="s">
        <v>112</v>
      </c>
      <c r="C34" s="12">
        <v>13</v>
      </c>
      <c r="D34" s="8">
        <v>4.05</v>
      </c>
      <c r="E34" s="12">
        <v>9</v>
      </c>
      <c r="F34" s="8">
        <v>3.85</v>
      </c>
      <c r="G34" s="12">
        <v>4</v>
      </c>
      <c r="H34" s="8">
        <v>4.6500000000000004</v>
      </c>
      <c r="I34" s="12">
        <v>0</v>
      </c>
    </row>
    <row r="35" spans="2:9" ht="15" customHeight="1" x14ac:dyDescent="0.15">
      <c r="B35" t="s">
        <v>76</v>
      </c>
      <c r="C35" s="12">
        <v>11</v>
      </c>
      <c r="D35" s="8">
        <v>3.43</v>
      </c>
      <c r="E35" s="12">
        <v>11</v>
      </c>
      <c r="F35" s="8">
        <v>4.7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77</v>
      </c>
      <c r="C36" s="12">
        <v>11</v>
      </c>
      <c r="D36" s="8">
        <v>3.43</v>
      </c>
      <c r="E36" s="12">
        <v>7</v>
      </c>
      <c r="F36" s="8">
        <v>2.99</v>
      </c>
      <c r="G36" s="12">
        <v>4</v>
      </c>
      <c r="H36" s="8">
        <v>4.6500000000000004</v>
      </c>
      <c r="I36" s="12">
        <v>0</v>
      </c>
    </row>
    <row r="37" spans="2:9" ht="15" customHeight="1" x14ac:dyDescent="0.15">
      <c r="B37" t="s">
        <v>82</v>
      </c>
      <c r="C37" s="12">
        <v>11</v>
      </c>
      <c r="D37" s="8">
        <v>3.43</v>
      </c>
      <c r="E37" s="12">
        <v>10</v>
      </c>
      <c r="F37" s="8">
        <v>4.2699999999999996</v>
      </c>
      <c r="G37" s="12">
        <v>1</v>
      </c>
      <c r="H37" s="8">
        <v>1.1599999999999999</v>
      </c>
      <c r="I37" s="12">
        <v>0</v>
      </c>
    </row>
    <row r="38" spans="2:9" ht="15" customHeight="1" x14ac:dyDescent="0.15">
      <c r="B38" t="s">
        <v>115</v>
      </c>
      <c r="C38" s="12">
        <v>10</v>
      </c>
      <c r="D38" s="8">
        <v>3.12</v>
      </c>
      <c r="E38" s="12">
        <v>2</v>
      </c>
      <c r="F38" s="8">
        <v>0.85</v>
      </c>
      <c r="G38" s="12">
        <v>8</v>
      </c>
      <c r="H38" s="8">
        <v>9.3000000000000007</v>
      </c>
      <c r="I38" s="12">
        <v>0</v>
      </c>
    </row>
    <row r="39" spans="2:9" ht="15" customHeight="1" x14ac:dyDescent="0.15">
      <c r="B39" t="s">
        <v>83</v>
      </c>
      <c r="C39" s="12">
        <v>10</v>
      </c>
      <c r="D39" s="8">
        <v>3.12</v>
      </c>
      <c r="E39" s="12">
        <v>8</v>
      </c>
      <c r="F39" s="8">
        <v>3.42</v>
      </c>
      <c r="G39" s="12">
        <v>2</v>
      </c>
      <c r="H39" s="8">
        <v>2.33</v>
      </c>
      <c r="I39" s="12">
        <v>0</v>
      </c>
    </row>
    <row r="40" spans="2:9" ht="15" customHeight="1" x14ac:dyDescent="0.15">
      <c r="B40" t="s">
        <v>92</v>
      </c>
      <c r="C40" s="12">
        <v>9</v>
      </c>
      <c r="D40" s="8">
        <v>2.8</v>
      </c>
      <c r="E40" s="12">
        <v>9</v>
      </c>
      <c r="F40" s="8">
        <v>3.85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117</v>
      </c>
      <c r="C41" s="12">
        <v>8</v>
      </c>
      <c r="D41" s="8">
        <v>2.4900000000000002</v>
      </c>
      <c r="E41" s="12">
        <v>7</v>
      </c>
      <c r="F41" s="8">
        <v>2.99</v>
      </c>
      <c r="G41" s="12">
        <v>1</v>
      </c>
      <c r="H41" s="8">
        <v>1.1599999999999999</v>
      </c>
      <c r="I41" s="12">
        <v>0</v>
      </c>
    </row>
    <row r="42" spans="2:9" ht="15" customHeight="1" x14ac:dyDescent="0.15">
      <c r="B42" t="s">
        <v>88</v>
      </c>
      <c r="C42" s="12">
        <v>8</v>
      </c>
      <c r="D42" s="8">
        <v>2.4900000000000002</v>
      </c>
      <c r="E42" s="12">
        <v>5</v>
      </c>
      <c r="F42" s="8">
        <v>2.14</v>
      </c>
      <c r="G42" s="12">
        <v>3</v>
      </c>
      <c r="H42" s="8">
        <v>3.49</v>
      </c>
      <c r="I42" s="12">
        <v>0</v>
      </c>
    </row>
    <row r="43" spans="2:9" ht="15" customHeight="1" x14ac:dyDescent="0.15">
      <c r="B43" t="s">
        <v>106</v>
      </c>
      <c r="C43" s="12">
        <v>8</v>
      </c>
      <c r="D43" s="8">
        <v>2.4900000000000002</v>
      </c>
      <c r="E43" s="12">
        <v>8</v>
      </c>
      <c r="F43" s="8">
        <v>3.42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81</v>
      </c>
      <c r="C44" s="12">
        <v>7</v>
      </c>
      <c r="D44" s="8">
        <v>2.1800000000000002</v>
      </c>
      <c r="E44" s="12">
        <v>6</v>
      </c>
      <c r="F44" s="8">
        <v>2.56</v>
      </c>
      <c r="G44" s="12">
        <v>1</v>
      </c>
      <c r="H44" s="8">
        <v>1.1599999999999999</v>
      </c>
      <c r="I44" s="12">
        <v>0</v>
      </c>
    </row>
    <row r="45" spans="2:9" ht="15" customHeight="1" x14ac:dyDescent="0.15">
      <c r="B45" t="s">
        <v>93</v>
      </c>
      <c r="C45" s="12">
        <v>6</v>
      </c>
      <c r="D45" s="8">
        <v>1.87</v>
      </c>
      <c r="E45" s="12">
        <v>6</v>
      </c>
      <c r="F45" s="8">
        <v>2.56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113</v>
      </c>
      <c r="C46" s="12">
        <v>5</v>
      </c>
      <c r="D46" s="8">
        <v>1.56</v>
      </c>
      <c r="E46" s="12">
        <v>2</v>
      </c>
      <c r="F46" s="8">
        <v>0.85</v>
      </c>
      <c r="G46" s="12">
        <v>3</v>
      </c>
      <c r="H46" s="8">
        <v>3.49</v>
      </c>
      <c r="I46" s="12">
        <v>0</v>
      </c>
    </row>
    <row r="47" spans="2:9" ht="15" customHeight="1" x14ac:dyDescent="0.15">
      <c r="B47" t="s">
        <v>119</v>
      </c>
      <c r="C47" s="12">
        <v>5</v>
      </c>
      <c r="D47" s="8">
        <v>1.56</v>
      </c>
      <c r="E47" s="12">
        <v>5</v>
      </c>
      <c r="F47" s="8">
        <v>2.14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120</v>
      </c>
      <c r="C48" s="12">
        <v>5</v>
      </c>
      <c r="D48" s="8">
        <v>1.56</v>
      </c>
      <c r="E48" s="12">
        <v>2</v>
      </c>
      <c r="F48" s="8">
        <v>0.85</v>
      </c>
      <c r="G48" s="12">
        <v>3</v>
      </c>
      <c r="H48" s="8">
        <v>3.49</v>
      </c>
      <c r="I48" s="12">
        <v>0</v>
      </c>
    </row>
    <row r="49" spans="2:9" ht="15" customHeight="1" x14ac:dyDescent="0.15">
      <c r="B49" t="s">
        <v>101</v>
      </c>
      <c r="C49" s="12">
        <v>5</v>
      </c>
      <c r="D49" s="8">
        <v>1.56</v>
      </c>
      <c r="E49" s="12">
        <v>3</v>
      </c>
      <c r="F49" s="8">
        <v>1.28</v>
      </c>
      <c r="G49" s="12">
        <v>2</v>
      </c>
      <c r="H49" s="8">
        <v>2.33</v>
      </c>
      <c r="I49" s="12">
        <v>0</v>
      </c>
    </row>
    <row r="52" spans="2:9" ht="33" customHeight="1" x14ac:dyDescent="0.15">
      <c r="B52" t="s">
        <v>294</v>
      </c>
      <c r="C52" s="10" t="s">
        <v>67</v>
      </c>
      <c r="D52" s="10" t="s">
        <v>68</v>
      </c>
      <c r="E52" s="10" t="s">
        <v>69</v>
      </c>
      <c r="F52" s="10" t="s">
        <v>70</v>
      </c>
      <c r="G52" s="10" t="s">
        <v>71</v>
      </c>
      <c r="H52" s="10" t="s">
        <v>72</v>
      </c>
      <c r="I52" s="10" t="s">
        <v>73</v>
      </c>
    </row>
    <row r="53" spans="2:9" ht="15" customHeight="1" x14ac:dyDescent="0.15">
      <c r="B53" t="s">
        <v>125</v>
      </c>
      <c r="C53" s="12">
        <v>24</v>
      </c>
      <c r="D53" s="8">
        <v>7.48</v>
      </c>
      <c r="E53" s="12">
        <v>11</v>
      </c>
      <c r="F53" s="8">
        <v>4.7</v>
      </c>
      <c r="G53" s="12">
        <v>13</v>
      </c>
      <c r="H53" s="8">
        <v>15.12</v>
      </c>
      <c r="I53" s="12">
        <v>0</v>
      </c>
    </row>
    <row r="54" spans="2:9" ht="15" customHeight="1" x14ac:dyDescent="0.15">
      <c r="B54" t="s">
        <v>141</v>
      </c>
      <c r="C54" s="12">
        <v>14</v>
      </c>
      <c r="D54" s="8">
        <v>4.3600000000000003</v>
      </c>
      <c r="E54" s="12">
        <v>13</v>
      </c>
      <c r="F54" s="8">
        <v>5.56</v>
      </c>
      <c r="G54" s="12">
        <v>1</v>
      </c>
      <c r="H54" s="8">
        <v>1.1599999999999999</v>
      </c>
      <c r="I54" s="12">
        <v>0</v>
      </c>
    </row>
    <row r="55" spans="2:9" ht="15" customHeight="1" x14ac:dyDescent="0.15">
      <c r="B55" t="s">
        <v>176</v>
      </c>
      <c r="C55" s="12">
        <v>12</v>
      </c>
      <c r="D55" s="8">
        <v>3.74</v>
      </c>
      <c r="E55" s="12">
        <v>8</v>
      </c>
      <c r="F55" s="8">
        <v>3.42</v>
      </c>
      <c r="G55" s="12">
        <v>4</v>
      </c>
      <c r="H55" s="8">
        <v>4.6500000000000004</v>
      </c>
      <c r="I55" s="12">
        <v>0</v>
      </c>
    </row>
    <row r="56" spans="2:9" ht="15" customHeight="1" x14ac:dyDescent="0.15">
      <c r="B56" t="s">
        <v>167</v>
      </c>
      <c r="C56" s="12">
        <v>11</v>
      </c>
      <c r="D56" s="8">
        <v>3.43</v>
      </c>
      <c r="E56" s="12">
        <v>9</v>
      </c>
      <c r="F56" s="8">
        <v>3.85</v>
      </c>
      <c r="G56" s="12">
        <v>2</v>
      </c>
      <c r="H56" s="8">
        <v>2.33</v>
      </c>
      <c r="I56" s="12">
        <v>0</v>
      </c>
    </row>
    <row r="57" spans="2:9" ht="15" customHeight="1" x14ac:dyDescent="0.15">
      <c r="B57" t="s">
        <v>140</v>
      </c>
      <c r="C57" s="12">
        <v>10</v>
      </c>
      <c r="D57" s="8">
        <v>3.12</v>
      </c>
      <c r="E57" s="12">
        <v>10</v>
      </c>
      <c r="F57" s="8">
        <v>4.2699999999999996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132</v>
      </c>
      <c r="C58" s="12">
        <v>9</v>
      </c>
      <c r="D58" s="8">
        <v>2.8</v>
      </c>
      <c r="E58" s="12">
        <v>9</v>
      </c>
      <c r="F58" s="8">
        <v>3.85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138</v>
      </c>
      <c r="C59" s="12">
        <v>9</v>
      </c>
      <c r="D59" s="8">
        <v>2.8</v>
      </c>
      <c r="E59" s="12">
        <v>9</v>
      </c>
      <c r="F59" s="8">
        <v>3.85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126</v>
      </c>
      <c r="C60" s="12">
        <v>8</v>
      </c>
      <c r="D60" s="8">
        <v>2.4900000000000002</v>
      </c>
      <c r="E60" s="12">
        <v>5</v>
      </c>
      <c r="F60" s="8">
        <v>2.14</v>
      </c>
      <c r="G60" s="12">
        <v>3</v>
      </c>
      <c r="H60" s="8">
        <v>3.49</v>
      </c>
      <c r="I60" s="12">
        <v>0</v>
      </c>
    </row>
    <row r="61" spans="2:9" ht="15" customHeight="1" x14ac:dyDescent="0.15">
      <c r="B61" t="s">
        <v>181</v>
      </c>
      <c r="C61" s="12">
        <v>8</v>
      </c>
      <c r="D61" s="8">
        <v>2.4900000000000002</v>
      </c>
      <c r="E61" s="12">
        <v>7</v>
      </c>
      <c r="F61" s="8">
        <v>2.99</v>
      </c>
      <c r="G61" s="12">
        <v>1</v>
      </c>
      <c r="H61" s="8">
        <v>1.1599999999999999</v>
      </c>
      <c r="I61" s="12">
        <v>0</v>
      </c>
    </row>
    <row r="62" spans="2:9" ht="15" customHeight="1" x14ac:dyDescent="0.15">
      <c r="B62" t="s">
        <v>127</v>
      </c>
      <c r="C62" s="12">
        <v>8</v>
      </c>
      <c r="D62" s="8">
        <v>2.4900000000000002</v>
      </c>
      <c r="E62" s="12">
        <v>8</v>
      </c>
      <c r="F62" s="8">
        <v>3.42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187</v>
      </c>
      <c r="C63" s="12">
        <v>8</v>
      </c>
      <c r="D63" s="8">
        <v>2.4900000000000002</v>
      </c>
      <c r="E63" s="12">
        <v>7</v>
      </c>
      <c r="F63" s="8">
        <v>2.99</v>
      </c>
      <c r="G63" s="12">
        <v>1</v>
      </c>
      <c r="H63" s="8">
        <v>1.1599999999999999</v>
      </c>
      <c r="I63" s="12">
        <v>0</v>
      </c>
    </row>
    <row r="64" spans="2:9" ht="15" customHeight="1" x14ac:dyDescent="0.15">
      <c r="B64" t="s">
        <v>166</v>
      </c>
      <c r="C64" s="12">
        <v>8</v>
      </c>
      <c r="D64" s="8">
        <v>2.4900000000000002</v>
      </c>
      <c r="E64" s="12">
        <v>8</v>
      </c>
      <c r="F64" s="8">
        <v>3.42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188</v>
      </c>
      <c r="C65" s="12">
        <v>7</v>
      </c>
      <c r="D65" s="8">
        <v>2.1800000000000002</v>
      </c>
      <c r="E65" s="12">
        <v>6</v>
      </c>
      <c r="F65" s="8">
        <v>2.56</v>
      </c>
      <c r="G65" s="12">
        <v>1</v>
      </c>
      <c r="H65" s="8">
        <v>1.1599999999999999</v>
      </c>
      <c r="I65" s="12">
        <v>0</v>
      </c>
    </row>
    <row r="66" spans="2:9" ht="15" customHeight="1" x14ac:dyDescent="0.15">
      <c r="B66" t="s">
        <v>183</v>
      </c>
      <c r="C66" s="12">
        <v>6</v>
      </c>
      <c r="D66" s="8">
        <v>1.87</v>
      </c>
      <c r="E66" s="12">
        <v>3</v>
      </c>
      <c r="F66" s="8">
        <v>1.28</v>
      </c>
      <c r="G66" s="12">
        <v>3</v>
      </c>
      <c r="H66" s="8">
        <v>3.49</v>
      </c>
      <c r="I66" s="12">
        <v>0</v>
      </c>
    </row>
    <row r="67" spans="2:9" ht="15" customHeight="1" x14ac:dyDescent="0.15">
      <c r="B67" t="s">
        <v>131</v>
      </c>
      <c r="C67" s="12">
        <v>6</v>
      </c>
      <c r="D67" s="8">
        <v>1.87</v>
      </c>
      <c r="E67" s="12">
        <v>4</v>
      </c>
      <c r="F67" s="8">
        <v>1.71</v>
      </c>
      <c r="G67" s="12">
        <v>2</v>
      </c>
      <c r="H67" s="8">
        <v>2.33</v>
      </c>
      <c r="I67" s="12">
        <v>0</v>
      </c>
    </row>
    <row r="68" spans="2:9" ht="15" customHeight="1" x14ac:dyDescent="0.15">
      <c r="B68" t="s">
        <v>172</v>
      </c>
      <c r="C68" s="12">
        <v>6</v>
      </c>
      <c r="D68" s="8">
        <v>1.87</v>
      </c>
      <c r="E68" s="12">
        <v>3</v>
      </c>
      <c r="F68" s="8">
        <v>1.28</v>
      </c>
      <c r="G68" s="12">
        <v>3</v>
      </c>
      <c r="H68" s="8">
        <v>3.49</v>
      </c>
      <c r="I68" s="12">
        <v>0</v>
      </c>
    </row>
    <row r="69" spans="2:9" ht="15" customHeight="1" x14ac:dyDescent="0.15">
      <c r="B69" t="s">
        <v>142</v>
      </c>
      <c r="C69" s="12">
        <v>6</v>
      </c>
      <c r="D69" s="8">
        <v>1.87</v>
      </c>
      <c r="E69" s="12">
        <v>6</v>
      </c>
      <c r="F69" s="8">
        <v>2.56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210</v>
      </c>
      <c r="C70" s="12">
        <v>5</v>
      </c>
      <c r="D70" s="8">
        <v>1.56</v>
      </c>
      <c r="E70" s="12">
        <v>2</v>
      </c>
      <c r="F70" s="8">
        <v>0.85</v>
      </c>
      <c r="G70" s="12">
        <v>3</v>
      </c>
      <c r="H70" s="8">
        <v>3.49</v>
      </c>
      <c r="I70" s="12">
        <v>0</v>
      </c>
    </row>
    <row r="71" spans="2:9" ht="15" customHeight="1" x14ac:dyDescent="0.15">
      <c r="B71" t="s">
        <v>130</v>
      </c>
      <c r="C71" s="12">
        <v>5</v>
      </c>
      <c r="D71" s="8">
        <v>1.56</v>
      </c>
      <c r="E71" s="12">
        <v>5</v>
      </c>
      <c r="F71" s="8">
        <v>2.14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191</v>
      </c>
      <c r="C72" s="12">
        <v>4</v>
      </c>
      <c r="D72" s="8">
        <v>1.25</v>
      </c>
      <c r="E72" s="12">
        <v>1</v>
      </c>
      <c r="F72" s="8">
        <v>0.43</v>
      </c>
      <c r="G72" s="12">
        <v>3</v>
      </c>
      <c r="H72" s="8">
        <v>3.49</v>
      </c>
      <c r="I72" s="12">
        <v>0</v>
      </c>
    </row>
    <row r="73" spans="2:9" ht="15" customHeight="1" x14ac:dyDescent="0.15">
      <c r="B73" t="s">
        <v>208</v>
      </c>
      <c r="C73" s="12">
        <v>4</v>
      </c>
      <c r="D73" s="8">
        <v>1.25</v>
      </c>
      <c r="E73" s="12">
        <v>0</v>
      </c>
      <c r="F73" s="8">
        <v>0</v>
      </c>
      <c r="G73" s="12">
        <v>4</v>
      </c>
      <c r="H73" s="8">
        <v>4.6500000000000004</v>
      </c>
      <c r="I73" s="12">
        <v>0</v>
      </c>
    </row>
    <row r="74" spans="2:9" ht="15" customHeight="1" x14ac:dyDescent="0.15">
      <c r="B74" t="s">
        <v>209</v>
      </c>
      <c r="C74" s="12">
        <v>4</v>
      </c>
      <c r="D74" s="8">
        <v>1.25</v>
      </c>
      <c r="E74" s="12">
        <v>1</v>
      </c>
      <c r="F74" s="8">
        <v>0.43</v>
      </c>
      <c r="G74" s="12">
        <v>3</v>
      </c>
      <c r="H74" s="8">
        <v>3.49</v>
      </c>
      <c r="I74" s="12">
        <v>0</v>
      </c>
    </row>
    <row r="75" spans="2:9" ht="15" customHeight="1" x14ac:dyDescent="0.15">
      <c r="B75" t="s">
        <v>155</v>
      </c>
      <c r="C75" s="12">
        <v>4</v>
      </c>
      <c r="D75" s="8">
        <v>1.25</v>
      </c>
      <c r="E75" s="12">
        <v>4</v>
      </c>
      <c r="F75" s="8">
        <v>1.71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159</v>
      </c>
      <c r="C76" s="12">
        <v>4</v>
      </c>
      <c r="D76" s="8">
        <v>1.25</v>
      </c>
      <c r="E76" s="12">
        <v>2</v>
      </c>
      <c r="F76" s="8">
        <v>0.85</v>
      </c>
      <c r="G76" s="12">
        <v>2</v>
      </c>
      <c r="H76" s="8">
        <v>2.33</v>
      </c>
      <c r="I76" s="12">
        <v>0</v>
      </c>
    </row>
    <row r="77" spans="2:9" ht="15" customHeight="1" x14ac:dyDescent="0.15">
      <c r="B77" t="s">
        <v>139</v>
      </c>
      <c r="C77" s="12">
        <v>4</v>
      </c>
      <c r="D77" s="8">
        <v>1.25</v>
      </c>
      <c r="E77" s="12">
        <v>2</v>
      </c>
      <c r="F77" s="8">
        <v>0.85</v>
      </c>
      <c r="G77" s="12">
        <v>2</v>
      </c>
      <c r="H77" s="8">
        <v>2.33</v>
      </c>
      <c r="I77" s="12">
        <v>0</v>
      </c>
    </row>
    <row r="78" spans="2:9" ht="15" customHeight="1" x14ac:dyDescent="0.15">
      <c r="B78" t="s">
        <v>144</v>
      </c>
      <c r="C78" s="12">
        <v>4</v>
      </c>
      <c r="D78" s="8">
        <v>1.25</v>
      </c>
      <c r="E78" s="12">
        <v>4</v>
      </c>
      <c r="F78" s="8">
        <v>1.71</v>
      </c>
      <c r="G78" s="12">
        <v>0</v>
      </c>
      <c r="H78" s="8">
        <v>0</v>
      </c>
      <c r="I78" s="12">
        <v>0</v>
      </c>
    </row>
    <row r="80" spans="2:9" ht="15" customHeight="1" x14ac:dyDescent="0.15">
      <c r="B80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374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83</v>
      </c>
      <c r="D6" s="8">
        <v>14.95</v>
      </c>
      <c r="E6" s="12">
        <v>36</v>
      </c>
      <c r="F6" s="8">
        <v>10.34</v>
      </c>
      <c r="G6" s="12">
        <v>47</v>
      </c>
      <c r="H6" s="8">
        <v>22.71</v>
      </c>
      <c r="I6" s="12">
        <v>0</v>
      </c>
    </row>
    <row r="7" spans="2:9" ht="15" customHeight="1" x14ac:dyDescent="0.15">
      <c r="B7" t="s">
        <v>53</v>
      </c>
      <c r="C7" s="12">
        <v>72</v>
      </c>
      <c r="D7" s="8">
        <v>12.97</v>
      </c>
      <c r="E7" s="12">
        <v>40</v>
      </c>
      <c r="F7" s="8">
        <v>11.49</v>
      </c>
      <c r="G7" s="12">
        <v>32</v>
      </c>
      <c r="H7" s="8">
        <v>15.46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1</v>
      </c>
      <c r="D9" s="8">
        <v>0.18</v>
      </c>
      <c r="E9" s="12">
        <v>0</v>
      </c>
      <c r="F9" s="8">
        <v>0</v>
      </c>
      <c r="G9" s="12">
        <v>1</v>
      </c>
      <c r="H9" s="8">
        <v>0.48</v>
      </c>
      <c r="I9" s="12">
        <v>0</v>
      </c>
    </row>
    <row r="10" spans="2:9" ht="15" customHeight="1" x14ac:dyDescent="0.15">
      <c r="B10" t="s">
        <v>56</v>
      </c>
      <c r="C10" s="12">
        <v>6</v>
      </c>
      <c r="D10" s="8">
        <v>1.08</v>
      </c>
      <c r="E10" s="12">
        <v>0</v>
      </c>
      <c r="F10" s="8">
        <v>0</v>
      </c>
      <c r="G10" s="12">
        <v>6</v>
      </c>
      <c r="H10" s="8">
        <v>2.9</v>
      </c>
      <c r="I10" s="12">
        <v>0</v>
      </c>
    </row>
    <row r="11" spans="2:9" ht="15" customHeight="1" x14ac:dyDescent="0.15">
      <c r="B11" t="s">
        <v>57</v>
      </c>
      <c r="C11" s="12">
        <v>143</v>
      </c>
      <c r="D11" s="8">
        <v>25.77</v>
      </c>
      <c r="E11" s="12">
        <v>87</v>
      </c>
      <c r="F11" s="8">
        <v>25</v>
      </c>
      <c r="G11" s="12">
        <v>56</v>
      </c>
      <c r="H11" s="8">
        <v>27.05</v>
      </c>
      <c r="I11" s="12">
        <v>0</v>
      </c>
    </row>
    <row r="12" spans="2:9" ht="15" customHeight="1" x14ac:dyDescent="0.15">
      <c r="B12" t="s">
        <v>58</v>
      </c>
      <c r="C12" s="12">
        <v>5</v>
      </c>
      <c r="D12" s="8">
        <v>0.9</v>
      </c>
      <c r="E12" s="12">
        <v>2</v>
      </c>
      <c r="F12" s="8">
        <v>0.56999999999999995</v>
      </c>
      <c r="G12" s="12">
        <v>3</v>
      </c>
      <c r="H12" s="8">
        <v>1.45</v>
      </c>
      <c r="I12" s="12">
        <v>0</v>
      </c>
    </row>
    <row r="13" spans="2:9" ht="15" customHeight="1" x14ac:dyDescent="0.15">
      <c r="B13" t="s">
        <v>59</v>
      </c>
      <c r="C13" s="12">
        <v>47</v>
      </c>
      <c r="D13" s="8">
        <v>8.4700000000000006</v>
      </c>
      <c r="E13" s="12">
        <v>30</v>
      </c>
      <c r="F13" s="8">
        <v>8.6199999999999992</v>
      </c>
      <c r="G13" s="12">
        <v>17</v>
      </c>
      <c r="H13" s="8">
        <v>8.2100000000000009</v>
      </c>
      <c r="I13" s="12">
        <v>0</v>
      </c>
    </row>
    <row r="14" spans="2:9" ht="15" customHeight="1" x14ac:dyDescent="0.15">
      <c r="B14" t="s">
        <v>60</v>
      </c>
      <c r="C14" s="12">
        <v>20</v>
      </c>
      <c r="D14" s="8">
        <v>3.6</v>
      </c>
      <c r="E14" s="12">
        <v>11</v>
      </c>
      <c r="F14" s="8">
        <v>3.16</v>
      </c>
      <c r="G14" s="12">
        <v>9</v>
      </c>
      <c r="H14" s="8">
        <v>4.3499999999999996</v>
      </c>
      <c r="I14" s="12">
        <v>0</v>
      </c>
    </row>
    <row r="15" spans="2:9" ht="15" customHeight="1" x14ac:dyDescent="0.15">
      <c r="B15" t="s">
        <v>61</v>
      </c>
      <c r="C15" s="12">
        <v>49</v>
      </c>
      <c r="D15" s="8">
        <v>8.83</v>
      </c>
      <c r="E15" s="12">
        <v>41</v>
      </c>
      <c r="F15" s="8">
        <v>11.78</v>
      </c>
      <c r="G15" s="12">
        <v>8</v>
      </c>
      <c r="H15" s="8">
        <v>3.86</v>
      </c>
      <c r="I15" s="12">
        <v>0</v>
      </c>
    </row>
    <row r="16" spans="2:9" ht="15" customHeight="1" x14ac:dyDescent="0.15">
      <c r="B16" t="s">
        <v>62</v>
      </c>
      <c r="C16" s="12">
        <v>65</v>
      </c>
      <c r="D16" s="8">
        <v>11.71</v>
      </c>
      <c r="E16" s="12">
        <v>55</v>
      </c>
      <c r="F16" s="8">
        <v>15.8</v>
      </c>
      <c r="G16" s="12">
        <v>10</v>
      </c>
      <c r="H16" s="8">
        <v>4.83</v>
      </c>
      <c r="I16" s="12">
        <v>0</v>
      </c>
    </row>
    <row r="17" spans="2:9" ht="15" customHeight="1" x14ac:dyDescent="0.15">
      <c r="B17" t="s">
        <v>63</v>
      </c>
      <c r="C17" s="12">
        <v>29</v>
      </c>
      <c r="D17" s="8">
        <v>5.23</v>
      </c>
      <c r="E17" s="12">
        <v>23</v>
      </c>
      <c r="F17" s="8">
        <v>6.61</v>
      </c>
      <c r="G17" s="12">
        <v>6</v>
      </c>
      <c r="H17" s="8">
        <v>2.9</v>
      </c>
      <c r="I17" s="12">
        <v>0</v>
      </c>
    </row>
    <row r="18" spans="2:9" ht="15" customHeight="1" x14ac:dyDescent="0.15">
      <c r="B18" t="s">
        <v>64</v>
      </c>
      <c r="C18" s="12">
        <v>15</v>
      </c>
      <c r="D18" s="8">
        <v>2.7</v>
      </c>
      <c r="E18" s="12">
        <v>12</v>
      </c>
      <c r="F18" s="8">
        <v>3.45</v>
      </c>
      <c r="G18" s="12">
        <v>3</v>
      </c>
      <c r="H18" s="8">
        <v>1.45</v>
      </c>
      <c r="I18" s="12">
        <v>0</v>
      </c>
    </row>
    <row r="19" spans="2:9" ht="15" customHeight="1" x14ac:dyDescent="0.15">
      <c r="B19" t="s">
        <v>65</v>
      </c>
      <c r="C19" s="12">
        <v>20</v>
      </c>
      <c r="D19" s="8">
        <v>3.6</v>
      </c>
      <c r="E19" s="12">
        <v>11</v>
      </c>
      <c r="F19" s="8">
        <v>3.16</v>
      </c>
      <c r="G19" s="12">
        <v>9</v>
      </c>
      <c r="H19" s="8">
        <v>4.3499999999999996</v>
      </c>
      <c r="I19" s="12">
        <v>0</v>
      </c>
    </row>
    <row r="20" spans="2:9" ht="15" customHeight="1" x14ac:dyDescent="0.15">
      <c r="B20" s="9" t="s">
        <v>215</v>
      </c>
      <c r="C20" s="12">
        <f>SUM(LTBL_28443[総数／事業所数])</f>
        <v>555</v>
      </c>
      <c r="E20" s="12">
        <f>SUBTOTAL(109,LTBL_28443[個人／事業所数])</f>
        <v>348</v>
      </c>
      <c r="G20" s="12">
        <f>SUBTOTAL(109,LTBL_28443[法人／事業所数])</f>
        <v>207</v>
      </c>
      <c r="I20" s="12">
        <f>SUBTOTAL(109,LTBL_28443[法人以外の団体／事業所数])</f>
        <v>0</v>
      </c>
    </row>
    <row r="21" spans="2:9" ht="15" customHeight="1" x14ac:dyDescent="0.15">
      <c r="E21" s="11">
        <f>LTBL_28443[[#Totals],[個人／事業所数]]/LTBL_28443[[#Totals],[総数／事業所数]]</f>
        <v>0.62702702702702706</v>
      </c>
      <c r="G21" s="11">
        <f>LTBL_28443[[#Totals],[法人／事業所数]]/LTBL_28443[[#Totals],[総数／事業所数]]</f>
        <v>0.37297297297297299</v>
      </c>
      <c r="I21" s="11">
        <f>LTBL_28443[[#Totals],[法人以外の団体／事業所数]]/LTBL_28443[[#Totals],[総数／事業所数]]</f>
        <v>0</v>
      </c>
    </row>
    <row r="23" spans="2:9" ht="33" customHeight="1" x14ac:dyDescent="0.15">
      <c r="B23" t="s">
        <v>214</v>
      </c>
      <c r="C23" s="10" t="s">
        <v>67</v>
      </c>
      <c r="D23" s="10" t="s">
        <v>221</v>
      </c>
      <c r="E23" s="10" t="s">
        <v>69</v>
      </c>
      <c r="F23" s="10" t="s">
        <v>375</v>
      </c>
      <c r="G23" s="10" t="s">
        <v>71</v>
      </c>
      <c r="H23" s="10" t="s">
        <v>376</v>
      </c>
      <c r="I23" s="10" t="s">
        <v>73</v>
      </c>
    </row>
    <row r="24" spans="2:9" ht="15" customHeight="1" x14ac:dyDescent="0.15">
      <c r="B24" t="s">
        <v>217</v>
      </c>
      <c r="C24">
        <v>2</v>
      </c>
      <c r="D24" t="s">
        <v>216</v>
      </c>
      <c r="E24">
        <v>0</v>
      </c>
      <c r="F24" t="s">
        <v>218</v>
      </c>
      <c r="G24">
        <v>2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293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90</v>
      </c>
      <c r="C29" s="12">
        <v>55</v>
      </c>
      <c r="D29" s="8">
        <v>9.91</v>
      </c>
      <c r="E29" s="12">
        <v>48</v>
      </c>
      <c r="F29" s="8">
        <v>13.79</v>
      </c>
      <c r="G29" s="12">
        <v>7</v>
      </c>
      <c r="H29" s="8">
        <v>3.38</v>
      </c>
      <c r="I29" s="12">
        <v>0</v>
      </c>
    </row>
    <row r="30" spans="2:9" ht="15" customHeight="1" x14ac:dyDescent="0.15">
      <c r="B30" t="s">
        <v>84</v>
      </c>
      <c r="C30" s="12">
        <v>49</v>
      </c>
      <c r="D30" s="8">
        <v>8.83</v>
      </c>
      <c r="E30" s="12">
        <v>26</v>
      </c>
      <c r="F30" s="8">
        <v>7.47</v>
      </c>
      <c r="G30" s="12">
        <v>23</v>
      </c>
      <c r="H30" s="8">
        <v>11.11</v>
      </c>
      <c r="I30" s="12">
        <v>0</v>
      </c>
    </row>
    <row r="31" spans="2:9" ht="15" customHeight="1" x14ac:dyDescent="0.15">
      <c r="B31" t="s">
        <v>74</v>
      </c>
      <c r="C31" s="12">
        <v>45</v>
      </c>
      <c r="D31" s="8">
        <v>8.11</v>
      </c>
      <c r="E31" s="12">
        <v>15</v>
      </c>
      <c r="F31" s="8">
        <v>4.3099999999999996</v>
      </c>
      <c r="G31" s="12">
        <v>30</v>
      </c>
      <c r="H31" s="8">
        <v>14.49</v>
      </c>
      <c r="I31" s="12">
        <v>0</v>
      </c>
    </row>
    <row r="32" spans="2:9" ht="15" customHeight="1" x14ac:dyDescent="0.15">
      <c r="B32" t="s">
        <v>86</v>
      </c>
      <c r="C32" s="12">
        <v>40</v>
      </c>
      <c r="D32" s="8">
        <v>7.21</v>
      </c>
      <c r="E32" s="12">
        <v>27</v>
      </c>
      <c r="F32" s="8">
        <v>7.76</v>
      </c>
      <c r="G32" s="12">
        <v>13</v>
      </c>
      <c r="H32" s="8">
        <v>6.28</v>
      </c>
      <c r="I32" s="12">
        <v>0</v>
      </c>
    </row>
    <row r="33" spans="2:9" ht="15" customHeight="1" x14ac:dyDescent="0.15">
      <c r="B33" t="s">
        <v>89</v>
      </c>
      <c r="C33" s="12">
        <v>40</v>
      </c>
      <c r="D33" s="8">
        <v>7.21</v>
      </c>
      <c r="E33" s="12">
        <v>37</v>
      </c>
      <c r="F33" s="8">
        <v>10.63</v>
      </c>
      <c r="G33" s="12">
        <v>3</v>
      </c>
      <c r="H33" s="8">
        <v>1.45</v>
      </c>
      <c r="I33" s="12">
        <v>0</v>
      </c>
    </row>
    <row r="34" spans="2:9" ht="15" customHeight="1" x14ac:dyDescent="0.15">
      <c r="B34" t="s">
        <v>92</v>
      </c>
      <c r="C34" s="12">
        <v>29</v>
      </c>
      <c r="D34" s="8">
        <v>5.23</v>
      </c>
      <c r="E34" s="12">
        <v>23</v>
      </c>
      <c r="F34" s="8">
        <v>6.61</v>
      </c>
      <c r="G34" s="12">
        <v>6</v>
      </c>
      <c r="H34" s="8">
        <v>2.9</v>
      </c>
      <c r="I34" s="12">
        <v>0</v>
      </c>
    </row>
    <row r="35" spans="2:9" ht="15" customHeight="1" x14ac:dyDescent="0.15">
      <c r="B35" t="s">
        <v>82</v>
      </c>
      <c r="C35" s="12">
        <v>22</v>
      </c>
      <c r="D35" s="8">
        <v>3.96</v>
      </c>
      <c r="E35" s="12">
        <v>17</v>
      </c>
      <c r="F35" s="8">
        <v>4.8899999999999997</v>
      </c>
      <c r="G35" s="12">
        <v>5</v>
      </c>
      <c r="H35" s="8">
        <v>2.42</v>
      </c>
      <c r="I35" s="12">
        <v>0</v>
      </c>
    </row>
    <row r="36" spans="2:9" ht="15" customHeight="1" x14ac:dyDescent="0.15">
      <c r="B36" t="s">
        <v>75</v>
      </c>
      <c r="C36" s="12">
        <v>21</v>
      </c>
      <c r="D36" s="8">
        <v>3.78</v>
      </c>
      <c r="E36" s="12">
        <v>17</v>
      </c>
      <c r="F36" s="8">
        <v>4.8899999999999997</v>
      </c>
      <c r="G36" s="12">
        <v>4</v>
      </c>
      <c r="H36" s="8">
        <v>1.93</v>
      </c>
      <c r="I36" s="12">
        <v>0</v>
      </c>
    </row>
    <row r="37" spans="2:9" ht="15" customHeight="1" x14ac:dyDescent="0.15">
      <c r="B37" t="s">
        <v>83</v>
      </c>
      <c r="C37" s="12">
        <v>21</v>
      </c>
      <c r="D37" s="8">
        <v>3.78</v>
      </c>
      <c r="E37" s="12">
        <v>14</v>
      </c>
      <c r="F37" s="8">
        <v>4.0199999999999996</v>
      </c>
      <c r="G37" s="12">
        <v>7</v>
      </c>
      <c r="H37" s="8">
        <v>3.38</v>
      </c>
      <c r="I37" s="12">
        <v>0</v>
      </c>
    </row>
    <row r="38" spans="2:9" ht="15" customHeight="1" x14ac:dyDescent="0.15">
      <c r="B38" t="s">
        <v>76</v>
      </c>
      <c r="C38" s="12">
        <v>17</v>
      </c>
      <c r="D38" s="8">
        <v>3.06</v>
      </c>
      <c r="E38" s="12">
        <v>4</v>
      </c>
      <c r="F38" s="8">
        <v>1.1499999999999999</v>
      </c>
      <c r="G38" s="12">
        <v>13</v>
      </c>
      <c r="H38" s="8">
        <v>6.28</v>
      </c>
      <c r="I38" s="12">
        <v>0</v>
      </c>
    </row>
    <row r="39" spans="2:9" ht="15" customHeight="1" x14ac:dyDescent="0.15">
      <c r="B39" t="s">
        <v>77</v>
      </c>
      <c r="C39" s="12">
        <v>15</v>
      </c>
      <c r="D39" s="8">
        <v>2.7</v>
      </c>
      <c r="E39" s="12">
        <v>11</v>
      </c>
      <c r="F39" s="8">
        <v>3.16</v>
      </c>
      <c r="G39" s="12">
        <v>4</v>
      </c>
      <c r="H39" s="8">
        <v>1.93</v>
      </c>
      <c r="I39" s="12">
        <v>0</v>
      </c>
    </row>
    <row r="40" spans="2:9" ht="15" customHeight="1" x14ac:dyDescent="0.15">
      <c r="B40" t="s">
        <v>103</v>
      </c>
      <c r="C40" s="12">
        <v>15</v>
      </c>
      <c r="D40" s="8">
        <v>2.7</v>
      </c>
      <c r="E40" s="12">
        <v>13</v>
      </c>
      <c r="F40" s="8">
        <v>3.74</v>
      </c>
      <c r="G40" s="12">
        <v>2</v>
      </c>
      <c r="H40" s="8">
        <v>0.97</v>
      </c>
      <c r="I40" s="12">
        <v>0</v>
      </c>
    </row>
    <row r="41" spans="2:9" ht="15" customHeight="1" x14ac:dyDescent="0.15">
      <c r="B41" t="s">
        <v>88</v>
      </c>
      <c r="C41" s="12">
        <v>14</v>
      </c>
      <c r="D41" s="8">
        <v>2.52</v>
      </c>
      <c r="E41" s="12">
        <v>5</v>
      </c>
      <c r="F41" s="8">
        <v>1.44</v>
      </c>
      <c r="G41" s="12">
        <v>9</v>
      </c>
      <c r="H41" s="8">
        <v>4.3499999999999996</v>
      </c>
      <c r="I41" s="12">
        <v>0</v>
      </c>
    </row>
    <row r="42" spans="2:9" ht="15" customHeight="1" x14ac:dyDescent="0.15">
      <c r="B42" t="s">
        <v>81</v>
      </c>
      <c r="C42" s="12">
        <v>11</v>
      </c>
      <c r="D42" s="8">
        <v>1.98</v>
      </c>
      <c r="E42" s="12">
        <v>9</v>
      </c>
      <c r="F42" s="8">
        <v>2.59</v>
      </c>
      <c r="G42" s="12">
        <v>2</v>
      </c>
      <c r="H42" s="8">
        <v>0.97</v>
      </c>
      <c r="I42" s="12">
        <v>0</v>
      </c>
    </row>
    <row r="43" spans="2:9" ht="15" customHeight="1" x14ac:dyDescent="0.15">
      <c r="B43" t="s">
        <v>93</v>
      </c>
      <c r="C43" s="12">
        <v>11</v>
      </c>
      <c r="D43" s="8">
        <v>1.98</v>
      </c>
      <c r="E43" s="12">
        <v>11</v>
      </c>
      <c r="F43" s="8">
        <v>3.16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106</v>
      </c>
      <c r="C44" s="12">
        <v>10</v>
      </c>
      <c r="D44" s="8">
        <v>1.8</v>
      </c>
      <c r="E44" s="12">
        <v>8</v>
      </c>
      <c r="F44" s="8">
        <v>2.2999999999999998</v>
      </c>
      <c r="G44" s="12">
        <v>2</v>
      </c>
      <c r="H44" s="8">
        <v>0.97</v>
      </c>
      <c r="I44" s="12">
        <v>0</v>
      </c>
    </row>
    <row r="45" spans="2:9" ht="15" customHeight="1" x14ac:dyDescent="0.15">
      <c r="B45" t="s">
        <v>101</v>
      </c>
      <c r="C45" s="12">
        <v>9</v>
      </c>
      <c r="D45" s="8">
        <v>1.62</v>
      </c>
      <c r="E45" s="12">
        <v>4</v>
      </c>
      <c r="F45" s="8">
        <v>1.1499999999999999</v>
      </c>
      <c r="G45" s="12">
        <v>5</v>
      </c>
      <c r="H45" s="8">
        <v>2.42</v>
      </c>
      <c r="I45" s="12">
        <v>0</v>
      </c>
    </row>
    <row r="46" spans="2:9" ht="15" customHeight="1" x14ac:dyDescent="0.15">
      <c r="B46" t="s">
        <v>117</v>
      </c>
      <c r="C46" s="12">
        <v>9</v>
      </c>
      <c r="D46" s="8">
        <v>1.62</v>
      </c>
      <c r="E46" s="12">
        <v>3</v>
      </c>
      <c r="F46" s="8">
        <v>0.86</v>
      </c>
      <c r="G46" s="12">
        <v>6</v>
      </c>
      <c r="H46" s="8">
        <v>2.9</v>
      </c>
      <c r="I46" s="12">
        <v>0</v>
      </c>
    </row>
    <row r="47" spans="2:9" ht="15" customHeight="1" x14ac:dyDescent="0.15">
      <c r="B47" t="s">
        <v>78</v>
      </c>
      <c r="C47" s="12">
        <v>9</v>
      </c>
      <c r="D47" s="8">
        <v>1.62</v>
      </c>
      <c r="E47" s="12">
        <v>3</v>
      </c>
      <c r="F47" s="8">
        <v>0.86</v>
      </c>
      <c r="G47" s="12">
        <v>6</v>
      </c>
      <c r="H47" s="8">
        <v>2.9</v>
      </c>
      <c r="I47" s="12">
        <v>0</v>
      </c>
    </row>
    <row r="48" spans="2:9" ht="15" customHeight="1" x14ac:dyDescent="0.15">
      <c r="B48" t="s">
        <v>91</v>
      </c>
      <c r="C48" s="12">
        <v>7</v>
      </c>
      <c r="D48" s="8">
        <v>1.26</v>
      </c>
      <c r="E48" s="12">
        <v>6</v>
      </c>
      <c r="F48" s="8">
        <v>1.72</v>
      </c>
      <c r="G48" s="12">
        <v>1</v>
      </c>
      <c r="H48" s="8">
        <v>0.48</v>
      </c>
      <c r="I48" s="12">
        <v>0</v>
      </c>
    </row>
    <row r="51" spans="2:9" ht="33" customHeight="1" x14ac:dyDescent="0.15">
      <c r="B51" t="s">
        <v>230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141</v>
      </c>
      <c r="C52" s="12">
        <v>28</v>
      </c>
      <c r="D52" s="8">
        <v>5.05</v>
      </c>
      <c r="E52" s="12">
        <v>27</v>
      </c>
      <c r="F52" s="8">
        <v>7.76</v>
      </c>
      <c r="G52" s="12">
        <v>1</v>
      </c>
      <c r="H52" s="8">
        <v>0.48</v>
      </c>
      <c r="I52" s="12">
        <v>0</v>
      </c>
    </row>
    <row r="53" spans="2:9" ht="15" customHeight="1" x14ac:dyDescent="0.15">
      <c r="B53" t="s">
        <v>125</v>
      </c>
      <c r="C53" s="12">
        <v>21</v>
      </c>
      <c r="D53" s="8">
        <v>3.78</v>
      </c>
      <c r="E53" s="12">
        <v>8</v>
      </c>
      <c r="F53" s="8">
        <v>2.2999999999999998</v>
      </c>
      <c r="G53" s="12">
        <v>13</v>
      </c>
      <c r="H53" s="8">
        <v>6.28</v>
      </c>
      <c r="I53" s="12">
        <v>0</v>
      </c>
    </row>
    <row r="54" spans="2:9" ht="15" customHeight="1" x14ac:dyDescent="0.15">
      <c r="B54" t="s">
        <v>143</v>
      </c>
      <c r="C54" s="12">
        <v>19</v>
      </c>
      <c r="D54" s="8">
        <v>3.42</v>
      </c>
      <c r="E54" s="12">
        <v>16</v>
      </c>
      <c r="F54" s="8">
        <v>4.5999999999999996</v>
      </c>
      <c r="G54" s="12">
        <v>3</v>
      </c>
      <c r="H54" s="8">
        <v>1.45</v>
      </c>
      <c r="I54" s="12">
        <v>0</v>
      </c>
    </row>
    <row r="55" spans="2:9" ht="15" customHeight="1" x14ac:dyDescent="0.15">
      <c r="B55" t="s">
        <v>148</v>
      </c>
      <c r="C55" s="12">
        <v>18</v>
      </c>
      <c r="D55" s="8">
        <v>3.24</v>
      </c>
      <c r="E55" s="12">
        <v>17</v>
      </c>
      <c r="F55" s="8">
        <v>4.8899999999999997</v>
      </c>
      <c r="G55" s="12">
        <v>1</v>
      </c>
      <c r="H55" s="8">
        <v>0.48</v>
      </c>
      <c r="I55" s="12">
        <v>0</v>
      </c>
    </row>
    <row r="56" spans="2:9" ht="15" customHeight="1" x14ac:dyDescent="0.15">
      <c r="B56" t="s">
        <v>140</v>
      </c>
      <c r="C56" s="12">
        <v>18</v>
      </c>
      <c r="D56" s="8">
        <v>3.24</v>
      </c>
      <c r="E56" s="12">
        <v>17</v>
      </c>
      <c r="F56" s="8">
        <v>4.8899999999999997</v>
      </c>
      <c r="G56" s="12">
        <v>1</v>
      </c>
      <c r="H56" s="8">
        <v>0.48</v>
      </c>
      <c r="I56" s="12">
        <v>0</v>
      </c>
    </row>
    <row r="57" spans="2:9" ht="15" customHeight="1" x14ac:dyDescent="0.15">
      <c r="B57" t="s">
        <v>130</v>
      </c>
      <c r="C57" s="12">
        <v>15</v>
      </c>
      <c r="D57" s="8">
        <v>2.7</v>
      </c>
      <c r="E57" s="12">
        <v>9</v>
      </c>
      <c r="F57" s="8">
        <v>2.59</v>
      </c>
      <c r="G57" s="12">
        <v>6</v>
      </c>
      <c r="H57" s="8">
        <v>2.9</v>
      </c>
      <c r="I57" s="12">
        <v>0</v>
      </c>
    </row>
    <row r="58" spans="2:9" ht="15" customHeight="1" x14ac:dyDescent="0.15">
      <c r="B58" t="s">
        <v>132</v>
      </c>
      <c r="C58" s="12">
        <v>15</v>
      </c>
      <c r="D58" s="8">
        <v>2.7</v>
      </c>
      <c r="E58" s="12">
        <v>13</v>
      </c>
      <c r="F58" s="8">
        <v>3.74</v>
      </c>
      <c r="G58" s="12">
        <v>2</v>
      </c>
      <c r="H58" s="8">
        <v>0.97</v>
      </c>
      <c r="I58" s="12">
        <v>0</v>
      </c>
    </row>
    <row r="59" spans="2:9" ht="15" customHeight="1" x14ac:dyDescent="0.15">
      <c r="B59" t="s">
        <v>211</v>
      </c>
      <c r="C59" s="12">
        <v>13</v>
      </c>
      <c r="D59" s="8">
        <v>2.34</v>
      </c>
      <c r="E59" s="12">
        <v>11</v>
      </c>
      <c r="F59" s="8">
        <v>3.16</v>
      </c>
      <c r="G59" s="12">
        <v>2</v>
      </c>
      <c r="H59" s="8">
        <v>0.97</v>
      </c>
      <c r="I59" s="12">
        <v>0</v>
      </c>
    </row>
    <row r="60" spans="2:9" ht="15" customHeight="1" x14ac:dyDescent="0.15">
      <c r="B60" t="s">
        <v>138</v>
      </c>
      <c r="C60" s="12">
        <v>12</v>
      </c>
      <c r="D60" s="8">
        <v>2.16</v>
      </c>
      <c r="E60" s="12">
        <v>12</v>
      </c>
      <c r="F60" s="8">
        <v>3.45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126</v>
      </c>
      <c r="C61" s="12">
        <v>11</v>
      </c>
      <c r="D61" s="8">
        <v>1.98</v>
      </c>
      <c r="E61" s="12">
        <v>3</v>
      </c>
      <c r="F61" s="8">
        <v>0.86</v>
      </c>
      <c r="G61" s="12">
        <v>8</v>
      </c>
      <c r="H61" s="8">
        <v>3.86</v>
      </c>
      <c r="I61" s="12">
        <v>0</v>
      </c>
    </row>
    <row r="62" spans="2:9" ht="15" customHeight="1" x14ac:dyDescent="0.15">
      <c r="B62" t="s">
        <v>147</v>
      </c>
      <c r="C62" s="12">
        <v>11</v>
      </c>
      <c r="D62" s="8">
        <v>1.98</v>
      </c>
      <c r="E62" s="12">
        <v>3</v>
      </c>
      <c r="F62" s="8">
        <v>0.86</v>
      </c>
      <c r="G62" s="12">
        <v>8</v>
      </c>
      <c r="H62" s="8">
        <v>3.86</v>
      </c>
      <c r="I62" s="12">
        <v>0</v>
      </c>
    </row>
    <row r="63" spans="2:9" ht="15" customHeight="1" x14ac:dyDescent="0.15">
      <c r="B63" t="s">
        <v>134</v>
      </c>
      <c r="C63" s="12">
        <v>10</v>
      </c>
      <c r="D63" s="8">
        <v>1.8</v>
      </c>
      <c r="E63" s="12">
        <v>7</v>
      </c>
      <c r="F63" s="8">
        <v>2.0099999999999998</v>
      </c>
      <c r="G63" s="12">
        <v>3</v>
      </c>
      <c r="H63" s="8">
        <v>1.45</v>
      </c>
      <c r="I63" s="12">
        <v>0</v>
      </c>
    </row>
    <row r="64" spans="2:9" ht="15" customHeight="1" x14ac:dyDescent="0.15">
      <c r="B64" t="s">
        <v>166</v>
      </c>
      <c r="C64" s="12">
        <v>10</v>
      </c>
      <c r="D64" s="8">
        <v>1.8</v>
      </c>
      <c r="E64" s="12">
        <v>8</v>
      </c>
      <c r="F64" s="8">
        <v>2.2999999999999998</v>
      </c>
      <c r="G64" s="12">
        <v>2</v>
      </c>
      <c r="H64" s="8">
        <v>0.97</v>
      </c>
      <c r="I64" s="12">
        <v>0</v>
      </c>
    </row>
    <row r="65" spans="2:9" ht="15" customHeight="1" x14ac:dyDescent="0.15">
      <c r="B65" t="s">
        <v>167</v>
      </c>
      <c r="C65" s="12">
        <v>9</v>
      </c>
      <c r="D65" s="8">
        <v>1.62</v>
      </c>
      <c r="E65" s="12">
        <v>4</v>
      </c>
      <c r="F65" s="8">
        <v>1.1499999999999999</v>
      </c>
      <c r="G65" s="12">
        <v>5</v>
      </c>
      <c r="H65" s="8">
        <v>2.42</v>
      </c>
      <c r="I65" s="12">
        <v>0</v>
      </c>
    </row>
    <row r="66" spans="2:9" ht="15" customHeight="1" x14ac:dyDescent="0.15">
      <c r="B66" t="s">
        <v>187</v>
      </c>
      <c r="C66" s="12">
        <v>9</v>
      </c>
      <c r="D66" s="8">
        <v>1.62</v>
      </c>
      <c r="E66" s="12">
        <v>3</v>
      </c>
      <c r="F66" s="8">
        <v>0.86</v>
      </c>
      <c r="G66" s="12">
        <v>6</v>
      </c>
      <c r="H66" s="8">
        <v>2.9</v>
      </c>
      <c r="I66" s="12">
        <v>0</v>
      </c>
    </row>
    <row r="67" spans="2:9" ht="15" customHeight="1" x14ac:dyDescent="0.15">
      <c r="B67" t="s">
        <v>150</v>
      </c>
      <c r="C67" s="12">
        <v>9</v>
      </c>
      <c r="D67" s="8">
        <v>1.62</v>
      </c>
      <c r="E67" s="12">
        <v>3</v>
      </c>
      <c r="F67" s="8">
        <v>0.86</v>
      </c>
      <c r="G67" s="12">
        <v>6</v>
      </c>
      <c r="H67" s="8">
        <v>2.9</v>
      </c>
      <c r="I67" s="12">
        <v>0</v>
      </c>
    </row>
    <row r="68" spans="2:9" ht="15" customHeight="1" x14ac:dyDescent="0.15">
      <c r="B68" t="s">
        <v>139</v>
      </c>
      <c r="C68" s="12">
        <v>9</v>
      </c>
      <c r="D68" s="8">
        <v>1.62</v>
      </c>
      <c r="E68" s="12">
        <v>4</v>
      </c>
      <c r="F68" s="8">
        <v>1.1499999999999999</v>
      </c>
      <c r="G68" s="12">
        <v>5</v>
      </c>
      <c r="H68" s="8">
        <v>2.42</v>
      </c>
      <c r="I68" s="12">
        <v>0</v>
      </c>
    </row>
    <row r="69" spans="2:9" ht="15" customHeight="1" x14ac:dyDescent="0.15">
      <c r="B69" t="s">
        <v>142</v>
      </c>
      <c r="C69" s="12">
        <v>9</v>
      </c>
      <c r="D69" s="8">
        <v>1.62</v>
      </c>
      <c r="E69" s="12">
        <v>7</v>
      </c>
      <c r="F69" s="8">
        <v>2.0099999999999998</v>
      </c>
      <c r="G69" s="12">
        <v>2</v>
      </c>
      <c r="H69" s="8">
        <v>0.97</v>
      </c>
      <c r="I69" s="12">
        <v>0</v>
      </c>
    </row>
    <row r="70" spans="2:9" ht="15" customHeight="1" x14ac:dyDescent="0.15">
      <c r="B70" t="s">
        <v>131</v>
      </c>
      <c r="C70" s="12">
        <v>8</v>
      </c>
      <c r="D70" s="8">
        <v>1.44</v>
      </c>
      <c r="E70" s="12">
        <v>1</v>
      </c>
      <c r="F70" s="8">
        <v>0.28999999999999998</v>
      </c>
      <c r="G70" s="12">
        <v>7</v>
      </c>
      <c r="H70" s="8">
        <v>3.38</v>
      </c>
      <c r="I70" s="12">
        <v>0</v>
      </c>
    </row>
    <row r="71" spans="2:9" ht="15" customHeight="1" x14ac:dyDescent="0.15">
      <c r="B71" t="s">
        <v>135</v>
      </c>
      <c r="C71" s="12">
        <v>8</v>
      </c>
      <c r="D71" s="8">
        <v>1.44</v>
      </c>
      <c r="E71" s="12">
        <v>7</v>
      </c>
      <c r="F71" s="8">
        <v>2.0099999999999998</v>
      </c>
      <c r="G71" s="12">
        <v>1</v>
      </c>
      <c r="H71" s="8">
        <v>0.48</v>
      </c>
      <c r="I71" s="12">
        <v>0</v>
      </c>
    </row>
    <row r="73" spans="2:9" ht="15" customHeight="1" x14ac:dyDescent="0.15">
      <c r="B73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213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10</v>
      </c>
      <c r="D5" s="8">
        <v>0.01</v>
      </c>
      <c r="E5" s="12">
        <v>1</v>
      </c>
      <c r="F5" s="8">
        <v>0</v>
      </c>
      <c r="G5" s="12">
        <v>9</v>
      </c>
      <c r="H5" s="8">
        <v>0.02</v>
      </c>
      <c r="I5" s="12">
        <v>0</v>
      </c>
    </row>
    <row r="6" spans="2:9" ht="15" customHeight="1" x14ac:dyDescent="0.15">
      <c r="B6" t="s">
        <v>52</v>
      </c>
      <c r="C6" s="12">
        <v>14083</v>
      </c>
      <c r="D6" s="8">
        <v>11.38</v>
      </c>
      <c r="E6" s="12">
        <v>5311</v>
      </c>
      <c r="F6" s="8">
        <v>7.19</v>
      </c>
      <c r="G6" s="12">
        <v>8770</v>
      </c>
      <c r="H6" s="8">
        <v>17.649999999999999</v>
      </c>
      <c r="I6" s="12">
        <v>2</v>
      </c>
    </row>
    <row r="7" spans="2:9" ht="15" customHeight="1" x14ac:dyDescent="0.15">
      <c r="B7" t="s">
        <v>53</v>
      </c>
      <c r="C7" s="12">
        <v>11888</v>
      </c>
      <c r="D7" s="8">
        <v>9.61</v>
      </c>
      <c r="E7" s="12">
        <v>6000</v>
      </c>
      <c r="F7" s="8">
        <v>8.1300000000000008</v>
      </c>
      <c r="G7" s="12">
        <v>5876</v>
      </c>
      <c r="H7" s="8">
        <v>11.83</v>
      </c>
      <c r="I7" s="12">
        <v>12</v>
      </c>
    </row>
    <row r="8" spans="2:9" ht="15" customHeight="1" x14ac:dyDescent="0.15">
      <c r="B8" t="s">
        <v>54</v>
      </c>
      <c r="C8" s="12">
        <v>34</v>
      </c>
      <c r="D8" s="8">
        <v>0.03</v>
      </c>
      <c r="E8" s="12">
        <v>1</v>
      </c>
      <c r="F8" s="8">
        <v>0</v>
      </c>
      <c r="G8" s="12">
        <v>33</v>
      </c>
      <c r="H8" s="8">
        <v>7.0000000000000007E-2</v>
      </c>
      <c r="I8" s="12">
        <v>0</v>
      </c>
    </row>
    <row r="9" spans="2:9" ht="15" customHeight="1" x14ac:dyDescent="0.15">
      <c r="B9" t="s">
        <v>55</v>
      </c>
      <c r="C9" s="12">
        <v>847</v>
      </c>
      <c r="D9" s="8">
        <v>0.68</v>
      </c>
      <c r="E9" s="12">
        <v>80</v>
      </c>
      <c r="F9" s="8">
        <v>0.11</v>
      </c>
      <c r="G9" s="12">
        <v>764</v>
      </c>
      <c r="H9" s="8">
        <v>1.54</v>
      </c>
      <c r="I9" s="12">
        <v>3</v>
      </c>
    </row>
    <row r="10" spans="2:9" ht="15" customHeight="1" x14ac:dyDescent="0.15">
      <c r="B10" t="s">
        <v>56</v>
      </c>
      <c r="C10" s="12">
        <v>1461</v>
      </c>
      <c r="D10" s="8">
        <v>1.18</v>
      </c>
      <c r="E10" s="12">
        <v>392</v>
      </c>
      <c r="F10" s="8">
        <v>0.53</v>
      </c>
      <c r="G10" s="12">
        <v>1058</v>
      </c>
      <c r="H10" s="8">
        <v>2.13</v>
      </c>
      <c r="I10" s="12">
        <v>11</v>
      </c>
    </row>
    <row r="11" spans="2:9" ht="15" customHeight="1" x14ac:dyDescent="0.15">
      <c r="B11" t="s">
        <v>57</v>
      </c>
      <c r="C11" s="12">
        <v>30921</v>
      </c>
      <c r="D11" s="8">
        <v>24.99</v>
      </c>
      <c r="E11" s="12">
        <v>16789</v>
      </c>
      <c r="F11" s="8">
        <v>22.74</v>
      </c>
      <c r="G11" s="12">
        <v>14090</v>
      </c>
      <c r="H11" s="8">
        <v>28.36</v>
      </c>
      <c r="I11" s="12">
        <v>42</v>
      </c>
    </row>
    <row r="12" spans="2:9" ht="15" customHeight="1" x14ac:dyDescent="0.15">
      <c r="B12" t="s">
        <v>58</v>
      </c>
      <c r="C12" s="12">
        <v>732</v>
      </c>
      <c r="D12" s="8">
        <v>0.59</v>
      </c>
      <c r="E12" s="12">
        <v>168</v>
      </c>
      <c r="F12" s="8">
        <v>0.23</v>
      </c>
      <c r="G12" s="12">
        <v>563</v>
      </c>
      <c r="H12" s="8">
        <v>1.1299999999999999</v>
      </c>
      <c r="I12" s="12">
        <v>1</v>
      </c>
    </row>
    <row r="13" spans="2:9" ht="15" customHeight="1" x14ac:dyDescent="0.15">
      <c r="B13" t="s">
        <v>59</v>
      </c>
      <c r="C13" s="12">
        <v>11102</v>
      </c>
      <c r="D13" s="8">
        <v>8.9700000000000006</v>
      </c>
      <c r="E13" s="12">
        <v>4412</v>
      </c>
      <c r="F13" s="8">
        <v>5.98</v>
      </c>
      <c r="G13" s="12">
        <v>6666</v>
      </c>
      <c r="H13" s="8">
        <v>13.42</v>
      </c>
      <c r="I13" s="12">
        <v>24</v>
      </c>
    </row>
    <row r="14" spans="2:9" ht="15" customHeight="1" x14ac:dyDescent="0.15">
      <c r="B14" t="s">
        <v>60</v>
      </c>
      <c r="C14" s="12">
        <v>5765</v>
      </c>
      <c r="D14" s="8">
        <v>4.66</v>
      </c>
      <c r="E14" s="12">
        <v>3609</v>
      </c>
      <c r="F14" s="8">
        <v>4.8899999999999997</v>
      </c>
      <c r="G14" s="12">
        <v>2151</v>
      </c>
      <c r="H14" s="8">
        <v>4.33</v>
      </c>
      <c r="I14" s="12">
        <v>5</v>
      </c>
    </row>
    <row r="15" spans="2:9" ht="15" customHeight="1" x14ac:dyDescent="0.15">
      <c r="B15" t="s">
        <v>61</v>
      </c>
      <c r="C15" s="12">
        <v>18817</v>
      </c>
      <c r="D15" s="8">
        <v>15.21</v>
      </c>
      <c r="E15" s="12">
        <v>16694</v>
      </c>
      <c r="F15" s="8">
        <v>22.61</v>
      </c>
      <c r="G15" s="12">
        <v>2109</v>
      </c>
      <c r="H15" s="8">
        <v>4.25</v>
      </c>
      <c r="I15" s="12">
        <v>14</v>
      </c>
    </row>
    <row r="16" spans="2:9" ht="15" customHeight="1" x14ac:dyDescent="0.15">
      <c r="B16" t="s">
        <v>62</v>
      </c>
      <c r="C16" s="12">
        <v>14239</v>
      </c>
      <c r="D16" s="8">
        <v>11.51</v>
      </c>
      <c r="E16" s="12">
        <v>11284</v>
      </c>
      <c r="F16" s="8">
        <v>15.29</v>
      </c>
      <c r="G16" s="12">
        <v>2940</v>
      </c>
      <c r="H16" s="8">
        <v>5.92</v>
      </c>
      <c r="I16" s="12">
        <v>15</v>
      </c>
    </row>
    <row r="17" spans="2:9" ht="15" customHeight="1" x14ac:dyDescent="0.15">
      <c r="B17" t="s">
        <v>63</v>
      </c>
      <c r="C17" s="12">
        <v>5015</v>
      </c>
      <c r="D17" s="8">
        <v>4.05</v>
      </c>
      <c r="E17" s="12">
        <v>3835</v>
      </c>
      <c r="F17" s="8">
        <v>5.2</v>
      </c>
      <c r="G17" s="12">
        <v>1144</v>
      </c>
      <c r="H17" s="8">
        <v>2.2999999999999998</v>
      </c>
      <c r="I17" s="12">
        <v>36</v>
      </c>
    </row>
    <row r="18" spans="2:9" ht="15" customHeight="1" x14ac:dyDescent="0.15">
      <c r="B18" t="s">
        <v>64</v>
      </c>
      <c r="C18" s="12">
        <v>5332</v>
      </c>
      <c r="D18" s="8">
        <v>4.3099999999999996</v>
      </c>
      <c r="E18" s="12">
        <v>3709</v>
      </c>
      <c r="F18" s="8">
        <v>5.0199999999999996</v>
      </c>
      <c r="G18" s="12">
        <v>1605</v>
      </c>
      <c r="H18" s="8">
        <v>3.23</v>
      </c>
      <c r="I18" s="12">
        <v>18</v>
      </c>
    </row>
    <row r="19" spans="2:9" ht="15" customHeight="1" x14ac:dyDescent="0.15">
      <c r="B19" t="s">
        <v>65</v>
      </c>
      <c r="C19" s="12">
        <v>3506</v>
      </c>
      <c r="D19" s="8">
        <v>2.83</v>
      </c>
      <c r="E19" s="12">
        <v>1535</v>
      </c>
      <c r="F19" s="8">
        <v>2.08</v>
      </c>
      <c r="G19" s="12">
        <v>1901</v>
      </c>
      <c r="H19" s="8">
        <v>3.83</v>
      </c>
      <c r="I19" s="12">
        <v>70</v>
      </c>
    </row>
    <row r="20" spans="2:9" ht="15" customHeight="1" x14ac:dyDescent="0.15">
      <c r="B20" s="9" t="s">
        <v>215</v>
      </c>
      <c r="C20" s="12">
        <f>SUM(LTBL_28000[総数／事業所数])</f>
        <v>123752</v>
      </c>
      <c r="E20" s="12">
        <f>SUBTOTAL(109,LTBL_28000[個人／事業所数])</f>
        <v>73820</v>
      </c>
      <c r="G20" s="12">
        <f>SUBTOTAL(109,LTBL_28000[法人／事業所数])</f>
        <v>49679</v>
      </c>
      <c r="I20" s="12">
        <f>SUBTOTAL(109,LTBL_28000[法人以外の団体／事業所数])</f>
        <v>253</v>
      </c>
    </row>
    <row r="21" spans="2:9" ht="15" customHeight="1" x14ac:dyDescent="0.15">
      <c r="E21" s="11">
        <f>LTBL_28000[[#Totals],[個人／事業所数]]/LTBL_28000[[#Totals],[総数／事業所数]]</f>
        <v>0.59651561186889912</v>
      </c>
      <c r="G21" s="11">
        <f>LTBL_28000[[#Totals],[法人／事業所数]]/LTBL_28000[[#Totals],[総数／事業所数]]</f>
        <v>0.40143997672764886</v>
      </c>
      <c r="I21" s="11">
        <f>LTBL_28000[[#Totals],[法人以外の団体／事業所数]]/LTBL_28000[[#Totals],[総数／事業所数]]</f>
        <v>2.0444114034520655E-3</v>
      </c>
    </row>
    <row r="23" spans="2:9" ht="33" customHeight="1" x14ac:dyDescent="0.15">
      <c r="B23" t="s">
        <v>214</v>
      </c>
      <c r="C23" s="10" t="s">
        <v>67</v>
      </c>
      <c r="D23" s="10" t="s">
        <v>221</v>
      </c>
      <c r="E23" s="10" t="s">
        <v>69</v>
      </c>
      <c r="F23" s="10" t="s">
        <v>222</v>
      </c>
      <c r="G23" s="10" t="s">
        <v>71</v>
      </c>
      <c r="H23" s="10" t="s">
        <v>223</v>
      </c>
      <c r="I23" s="10" t="s">
        <v>73</v>
      </c>
    </row>
    <row r="24" spans="2:9" ht="15" customHeight="1" x14ac:dyDescent="0.15">
      <c r="B24" t="s">
        <v>217</v>
      </c>
      <c r="C24">
        <v>393</v>
      </c>
      <c r="D24" t="s">
        <v>216</v>
      </c>
      <c r="E24">
        <v>0</v>
      </c>
      <c r="F24" t="s">
        <v>218</v>
      </c>
      <c r="G24">
        <v>388</v>
      </c>
      <c r="H24" t="s">
        <v>219</v>
      </c>
      <c r="I24">
        <v>5</v>
      </c>
    </row>
    <row r="25" spans="2:9" ht="15" customHeight="1" x14ac:dyDescent="0.15">
      <c r="B25" t="s">
        <v>220</v>
      </c>
      <c r="C25">
        <v>26</v>
      </c>
      <c r="D25" t="s">
        <v>216</v>
      </c>
      <c r="E25">
        <v>0</v>
      </c>
      <c r="F25" t="s">
        <v>218</v>
      </c>
      <c r="G25">
        <v>25</v>
      </c>
      <c r="H25" t="s">
        <v>219</v>
      </c>
      <c r="I25">
        <v>1</v>
      </c>
    </row>
    <row r="28" spans="2:9" ht="33" customHeight="1" x14ac:dyDescent="0.15">
      <c r="B28" t="s">
        <v>224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89</v>
      </c>
      <c r="C29" s="12">
        <v>17167</v>
      </c>
      <c r="D29" s="8">
        <v>13.87</v>
      </c>
      <c r="E29" s="12">
        <v>15848</v>
      </c>
      <c r="F29" s="8">
        <v>21.47</v>
      </c>
      <c r="G29" s="12">
        <v>1307</v>
      </c>
      <c r="H29" s="8">
        <v>2.63</v>
      </c>
      <c r="I29" s="12">
        <v>12</v>
      </c>
    </row>
    <row r="30" spans="2:9" ht="15" customHeight="1" x14ac:dyDescent="0.15">
      <c r="B30" t="s">
        <v>90</v>
      </c>
      <c r="C30" s="12">
        <v>11916</v>
      </c>
      <c r="D30" s="8">
        <v>9.6300000000000008</v>
      </c>
      <c r="E30" s="12">
        <v>10079</v>
      </c>
      <c r="F30" s="8">
        <v>13.65</v>
      </c>
      <c r="G30" s="12">
        <v>1837</v>
      </c>
      <c r="H30" s="8">
        <v>3.7</v>
      </c>
      <c r="I30" s="12">
        <v>0</v>
      </c>
    </row>
    <row r="31" spans="2:9" ht="15" customHeight="1" x14ac:dyDescent="0.15">
      <c r="B31" t="s">
        <v>84</v>
      </c>
      <c r="C31" s="12">
        <v>8928</v>
      </c>
      <c r="D31" s="8">
        <v>7.21</v>
      </c>
      <c r="E31" s="12">
        <v>5331</v>
      </c>
      <c r="F31" s="8">
        <v>7.22</v>
      </c>
      <c r="G31" s="12">
        <v>3588</v>
      </c>
      <c r="H31" s="8">
        <v>7.22</v>
      </c>
      <c r="I31" s="12">
        <v>9</v>
      </c>
    </row>
    <row r="32" spans="2:9" ht="15" customHeight="1" x14ac:dyDescent="0.15">
      <c r="B32" t="s">
        <v>86</v>
      </c>
      <c r="C32" s="12">
        <v>8458</v>
      </c>
      <c r="D32" s="8">
        <v>6.83</v>
      </c>
      <c r="E32" s="12">
        <v>3882</v>
      </c>
      <c r="F32" s="8">
        <v>5.26</v>
      </c>
      <c r="G32" s="12">
        <v>4554</v>
      </c>
      <c r="H32" s="8">
        <v>9.17</v>
      </c>
      <c r="I32" s="12">
        <v>22</v>
      </c>
    </row>
    <row r="33" spans="2:9" ht="15" customHeight="1" x14ac:dyDescent="0.15">
      <c r="B33" t="s">
        <v>74</v>
      </c>
      <c r="C33" s="12">
        <v>6665</v>
      </c>
      <c r="D33" s="8">
        <v>5.39</v>
      </c>
      <c r="E33" s="12">
        <v>2064</v>
      </c>
      <c r="F33" s="8">
        <v>2.8</v>
      </c>
      <c r="G33" s="12">
        <v>4600</v>
      </c>
      <c r="H33" s="8">
        <v>9.26</v>
      </c>
      <c r="I33" s="12">
        <v>1</v>
      </c>
    </row>
    <row r="34" spans="2:9" ht="15" customHeight="1" x14ac:dyDescent="0.15">
      <c r="B34" t="s">
        <v>82</v>
      </c>
      <c r="C34" s="12">
        <v>6303</v>
      </c>
      <c r="D34" s="8">
        <v>5.09</v>
      </c>
      <c r="E34" s="12">
        <v>4657</v>
      </c>
      <c r="F34" s="8">
        <v>6.31</v>
      </c>
      <c r="G34" s="12">
        <v>1626</v>
      </c>
      <c r="H34" s="8">
        <v>3.27</v>
      </c>
      <c r="I34" s="12">
        <v>20</v>
      </c>
    </row>
    <row r="35" spans="2:9" ht="15" customHeight="1" x14ac:dyDescent="0.15">
      <c r="B35" t="s">
        <v>92</v>
      </c>
      <c r="C35" s="12">
        <v>5015</v>
      </c>
      <c r="D35" s="8">
        <v>4.05</v>
      </c>
      <c r="E35" s="12">
        <v>3835</v>
      </c>
      <c r="F35" s="8">
        <v>5.2</v>
      </c>
      <c r="G35" s="12">
        <v>1144</v>
      </c>
      <c r="H35" s="8">
        <v>2.2999999999999998</v>
      </c>
      <c r="I35" s="12">
        <v>36</v>
      </c>
    </row>
    <row r="36" spans="2:9" ht="15" customHeight="1" x14ac:dyDescent="0.15">
      <c r="B36" t="s">
        <v>81</v>
      </c>
      <c r="C36" s="12">
        <v>4575</v>
      </c>
      <c r="D36" s="8">
        <v>3.7</v>
      </c>
      <c r="E36" s="12">
        <v>2512</v>
      </c>
      <c r="F36" s="8">
        <v>3.4</v>
      </c>
      <c r="G36" s="12">
        <v>2060</v>
      </c>
      <c r="H36" s="8">
        <v>4.1500000000000004</v>
      </c>
      <c r="I36" s="12">
        <v>3</v>
      </c>
    </row>
    <row r="37" spans="2:9" ht="15" customHeight="1" x14ac:dyDescent="0.15">
      <c r="B37" t="s">
        <v>93</v>
      </c>
      <c r="C37" s="12">
        <v>4091</v>
      </c>
      <c r="D37" s="8">
        <v>3.31</v>
      </c>
      <c r="E37" s="12">
        <v>3668</v>
      </c>
      <c r="F37" s="8">
        <v>4.97</v>
      </c>
      <c r="G37" s="12">
        <v>422</v>
      </c>
      <c r="H37" s="8">
        <v>0.85</v>
      </c>
      <c r="I37" s="12">
        <v>1</v>
      </c>
    </row>
    <row r="38" spans="2:9" ht="15" customHeight="1" x14ac:dyDescent="0.15">
      <c r="B38" t="s">
        <v>75</v>
      </c>
      <c r="C38" s="12">
        <v>3904</v>
      </c>
      <c r="D38" s="8">
        <v>3.15</v>
      </c>
      <c r="E38" s="12">
        <v>2009</v>
      </c>
      <c r="F38" s="8">
        <v>2.72</v>
      </c>
      <c r="G38" s="12">
        <v>1894</v>
      </c>
      <c r="H38" s="8">
        <v>3.81</v>
      </c>
      <c r="I38" s="12">
        <v>1</v>
      </c>
    </row>
    <row r="39" spans="2:9" ht="15" customHeight="1" x14ac:dyDescent="0.15">
      <c r="B39" t="s">
        <v>83</v>
      </c>
      <c r="C39" s="12">
        <v>3657</v>
      </c>
      <c r="D39" s="8">
        <v>2.96</v>
      </c>
      <c r="E39" s="12">
        <v>2341</v>
      </c>
      <c r="F39" s="8">
        <v>3.17</v>
      </c>
      <c r="G39" s="12">
        <v>1316</v>
      </c>
      <c r="H39" s="8">
        <v>2.65</v>
      </c>
      <c r="I39" s="12">
        <v>0</v>
      </c>
    </row>
    <row r="40" spans="2:9" ht="15" customHeight="1" x14ac:dyDescent="0.15">
      <c r="B40" t="s">
        <v>76</v>
      </c>
      <c r="C40" s="12">
        <v>3514</v>
      </c>
      <c r="D40" s="8">
        <v>2.84</v>
      </c>
      <c r="E40" s="12">
        <v>1238</v>
      </c>
      <c r="F40" s="8">
        <v>1.68</v>
      </c>
      <c r="G40" s="12">
        <v>2276</v>
      </c>
      <c r="H40" s="8">
        <v>4.58</v>
      </c>
      <c r="I40" s="12">
        <v>0</v>
      </c>
    </row>
    <row r="41" spans="2:9" ht="15" customHeight="1" x14ac:dyDescent="0.15">
      <c r="B41" t="s">
        <v>87</v>
      </c>
      <c r="C41" s="12">
        <v>3353</v>
      </c>
      <c r="D41" s="8">
        <v>2.71</v>
      </c>
      <c r="E41" s="12">
        <v>2519</v>
      </c>
      <c r="F41" s="8">
        <v>3.41</v>
      </c>
      <c r="G41" s="12">
        <v>832</v>
      </c>
      <c r="H41" s="8">
        <v>1.67</v>
      </c>
      <c r="I41" s="12">
        <v>2</v>
      </c>
    </row>
    <row r="42" spans="2:9" ht="15" customHeight="1" x14ac:dyDescent="0.15">
      <c r="B42" t="s">
        <v>88</v>
      </c>
      <c r="C42" s="12">
        <v>2241</v>
      </c>
      <c r="D42" s="8">
        <v>1.81</v>
      </c>
      <c r="E42" s="12">
        <v>1070</v>
      </c>
      <c r="F42" s="8">
        <v>1.45</v>
      </c>
      <c r="G42" s="12">
        <v>1169</v>
      </c>
      <c r="H42" s="8">
        <v>2.35</v>
      </c>
      <c r="I42" s="12">
        <v>2</v>
      </c>
    </row>
    <row r="43" spans="2:9" ht="15" customHeight="1" x14ac:dyDescent="0.15">
      <c r="B43" t="s">
        <v>85</v>
      </c>
      <c r="C43" s="12">
        <v>2167</v>
      </c>
      <c r="D43" s="8">
        <v>1.75</v>
      </c>
      <c r="E43" s="12">
        <v>461</v>
      </c>
      <c r="F43" s="8">
        <v>0.62</v>
      </c>
      <c r="G43" s="12">
        <v>1705</v>
      </c>
      <c r="H43" s="8">
        <v>3.43</v>
      </c>
      <c r="I43" s="12">
        <v>1</v>
      </c>
    </row>
    <row r="44" spans="2:9" ht="15" customHeight="1" x14ac:dyDescent="0.15">
      <c r="B44" t="s">
        <v>78</v>
      </c>
      <c r="C44" s="12">
        <v>1791</v>
      </c>
      <c r="D44" s="8">
        <v>1.45</v>
      </c>
      <c r="E44" s="12">
        <v>369</v>
      </c>
      <c r="F44" s="8">
        <v>0.5</v>
      </c>
      <c r="G44" s="12">
        <v>1422</v>
      </c>
      <c r="H44" s="8">
        <v>2.86</v>
      </c>
      <c r="I44" s="12">
        <v>0</v>
      </c>
    </row>
    <row r="45" spans="2:9" ht="15" customHeight="1" x14ac:dyDescent="0.15">
      <c r="B45" t="s">
        <v>77</v>
      </c>
      <c r="C45" s="12">
        <v>1720</v>
      </c>
      <c r="D45" s="8">
        <v>1.39</v>
      </c>
      <c r="E45" s="12">
        <v>853</v>
      </c>
      <c r="F45" s="8">
        <v>1.1599999999999999</v>
      </c>
      <c r="G45" s="12">
        <v>867</v>
      </c>
      <c r="H45" s="8">
        <v>1.75</v>
      </c>
      <c r="I45" s="12">
        <v>0</v>
      </c>
    </row>
    <row r="46" spans="2:9" ht="15" customHeight="1" x14ac:dyDescent="0.15">
      <c r="B46" t="s">
        <v>80</v>
      </c>
      <c r="C46" s="12">
        <v>1556</v>
      </c>
      <c r="D46" s="8">
        <v>1.26</v>
      </c>
      <c r="E46" s="12">
        <v>474</v>
      </c>
      <c r="F46" s="8">
        <v>0.64</v>
      </c>
      <c r="G46" s="12">
        <v>1075</v>
      </c>
      <c r="H46" s="8">
        <v>2.16</v>
      </c>
      <c r="I46" s="12">
        <v>7</v>
      </c>
    </row>
    <row r="47" spans="2:9" ht="15" customHeight="1" x14ac:dyDescent="0.15">
      <c r="B47" t="s">
        <v>91</v>
      </c>
      <c r="C47" s="12">
        <v>1542</v>
      </c>
      <c r="D47" s="8">
        <v>1.25</v>
      </c>
      <c r="E47" s="12">
        <v>762</v>
      </c>
      <c r="F47" s="8">
        <v>1.03</v>
      </c>
      <c r="G47" s="12">
        <v>776</v>
      </c>
      <c r="H47" s="8">
        <v>1.56</v>
      </c>
      <c r="I47" s="12">
        <v>4</v>
      </c>
    </row>
    <row r="48" spans="2:9" ht="15" customHeight="1" x14ac:dyDescent="0.15">
      <c r="B48" t="s">
        <v>79</v>
      </c>
      <c r="C48" s="12">
        <v>1478</v>
      </c>
      <c r="D48" s="8">
        <v>1.19</v>
      </c>
      <c r="E48" s="12">
        <v>240</v>
      </c>
      <c r="F48" s="8">
        <v>0.33</v>
      </c>
      <c r="G48" s="12">
        <v>1238</v>
      </c>
      <c r="H48" s="8">
        <v>2.4900000000000002</v>
      </c>
      <c r="I48" s="12">
        <v>0</v>
      </c>
    </row>
    <row r="51" spans="2:9" ht="33" customHeight="1" x14ac:dyDescent="0.15">
      <c r="B51" t="s">
        <v>225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141</v>
      </c>
      <c r="C52" s="12">
        <v>5935</v>
      </c>
      <c r="D52" s="8">
        <v>4.8</v>
      </c>
      <c r="E52" s="12">
        <v>5392</v>
      </c>
      <c r="F52" s="8">
        <v>7.3</v>
      </c>
      <c r="G52" s="12">
        <v>543</v>
      </c>
      <c r="H52" s="8">
        <v>1.0900000000000001</v>
      </c>
      <c r="I52" s="12">
        <v>0</v>
      </c>
    </row>
    <row r="53" spans="2:9" ht="15" customHeight="1" x14ac:dyDescent="0.15">
      <c r="B53" t="s">
        <v>134</v>
      </c>
      <c r="C53" s="12">
        <v>4246</v>
      </c>
      <c r="D53" s="8">
        <v>3.43</v>
      </c>
      <c r="E53" s="12">
        <v>2452</v>
      </c>
      <c r="F53" s="8">
        <v>3.32</v>
      </c>
      <c r="G53" s="12">
        <v>1792</v>
      </c>
      <c r="H53" s="8">
        <v>3.61</v>
      </c>
      <c r="I53" s="12">
        <v>2</v>
      </c>
    </row>
    <row r="54" spans="2:9" ht="15" customHeight="1" x14ac:dyDescent="0.15">
      <c r="B54" t="s">
        <v>138</v>
      </c>
      <c r="C54" s="12">
        <v>4038</v>
      </c>
      <c r="D54" s="8">
        <v>3.26</v>
      </c>
      <c r="E54" s="12">
        <v>3786</v>
      </c>
      <c r="F54" s="8">
        <v>5.13</v>
      </c>
      <c r="G54" s="12">
        <v>246</v>
      </c>
      <c r="H54" s="8">
        <v>0.5</v>
      </c>
      <c r="I54" s="12">
        <v>6</v>
      </c>
    </row>
    <row r="55" spans="2:9" ht="15" customHeight="1" x14ac:dyDescent="0.15">
      <c r="B55" t="s">
        <v>137</v>
      </c>
      <c r="C55" s="12">
        <v>3477</v>
      </c>
      <c r="D55" s="8">
        <v>2.81</v>
      </c>
      <c r="E55" s="12">
        <v>3419</v>
      </c>
      <c r="F55" s="8">
        <v>4.63</v>
      </c>
      <c r="G55" s="12">
        <v>58</v>
      </c>
      <c r="H55" s="8">
        <v>0.12</v>
      </c>
      <c r="I55" s="12">
        <v>0</v>
      </c>
    </row>
    <row r="56" spans="2:9" ht="15" customHeight="1" x14ac:dyDescent="0.15">
      <c r="B56" t="s">
        <v>132</v>
      </c>
      <c r="C56" s="12">
        <v>3443</v>
      </c>
      <c r="D56" s="8">
        <v>2.78</v>
      </c>
      <c r="E56" s="12">
        <v>2529</v>
      </c>
      <c r="F56" s="8">
        <v>3.43</v>
      </c>
      <c r="G56" s="12">
        <v>911</v>
      </c>
      <c r="H56" s="8">
        <v>1.83</v>
      </c>
      <c r="I56" s="12">
        <v>3</v>
      </c>
    </row>
    <row r="57" spans="2:9" ht="15" customHeight="1" x14ac:dyDescent="0.15">
      <c r="B57" t="s">
        <v>143</v>
      </c>
      <c r="C57" s="12">
        <v>3199</v>
      </c>
      <c r="D57" s="8">
        <v>2.59</v>
      </c>
      <c r="E57" s="12">
        <v>2576</v>
      </c>
      <c r="F57" s="8">
        <v>3.49</v>
      </c>
      <c r="G57" s="12">
        <v>605</v>
      </c>
      <c r="H57" s="8">
        <v>1.22</v>
      </c>
      <c r="I57" s="12">
        <v>18</v>
      </c>
    </row>
    <row r="58" spans="2:9" ht="15" customHeight="1" x14ac:dyDescent="0.15">
      <c r="B58" t="s">
        <v>140</v>
      </c>
      <c r="C58" s="12">
        <v>3157</v>
      </c>
      <c r="D58" s="8">
        <v>2.5499999999999998</v>
      </c>
      <c r="E58" s="12">
        <v>3003</v>
      </c>
      <c r="F58" s="8">
        <v>4.07</v>
      </c>
      <c r="G58" s="12">
        <v>154</v>
      </c>
      <c r="H58" s="8">
        <v>0.31</v>
      </c>
      <c r="I58" s="12">
        <v>0</v>
      </c>
    </row>
    <row r="59" spans="2:9" ht="15" customHeight="1" x14ac:dyDescent="0.15">
      <c r="B59" t="s">
        <v>135</v>
      </c>
      <c r="C59" s="12">
        <v>3156</v>
      </c>
      <c r="D59" s="8">
        <v>2.5499999999999998</v>
      </c>
      <c r="E59" s="12">
        <v>2757</v>
      </c>
      <c r="F59" s="8">
        <v>3.73</v>
      </c>
      <c r="G59" s="12">
        <v>399</v>
      </c>
      <c r="H59" s="8">
        <v>0.8</v>
      </c>
      <c r="I59" s="12">
        <v>0</v>
      </c>
    </row>
    <row r="60" spans="2:9" ht="15" customHeight="1" x14ac:dyDescent="0.15">
      <c r="B60" t="s">
        <v>136</v>
      </c>
      <c r="C60" s="12">
        <v>3017</v>
      </c>
      <c r="D60" s="8">
        <v>2.44</v>
      </c>
      <c r="E60" s="12">
        <v>2830</v>
      </c>
      <c r="F60" s="8">
        <v>3.83</v>
      </c>
      <c r="G60" s="12">
        <v>187</v>
      </c>
      <c r="H60" s="8">
        <v>0.38</v>
      </c>
      <c r="I60" s="12">
        <v>0</v>
      </c>
    </row>
    <row r="61" spans="2:9" ht="15" customHeight="1" x14ac:dyDescent="0.15">
      <c r="B61" t="s">
        <v>144</v>
      </c>
      <c r="C61" s="12">
        <v>2858</v>
      </c>
      <c r="D61" s="8">
        <v>2.31</v>
      </c>
      <c r="E61" s="12">
        <v>2574</v>
      </c>
      <c r="F61" s="8">
        <v>3.49</v>
      </c>
      <c r="G61" s="12">
        <v>283</v>
      </c>
      <c r="H61" s="8">
        <v>0.56999999999999995</v>
      </c>
      <c r="I61" s="12">
        <v>1</v>
      </c>
    </row>
    <row r="62" spans="2:9" ht="15" customHeight="1" x14ac:dyDescent="0.15">
      <c r="B62" t="s">
        <v>125</v>
      </c>
      <c r="C62" s="12">
        <v>2368</v>
      </c>
      <c r="D62" s="8">
        <v>1.91</v>
      </c>
      <c r="E62" s="12">
        <v>643</v>
      </c>
      <c r="F62" s="8">
        <v>0.87</v>
      </c>
      <c r="G62" s="12">
        <v>1725</v>
      </c>
      <c r="H62" s="8">
        <v>3.47</v>
      </c>
      <c r="I62" s="12">
        <v>0</v>
      </c>
    </row>
    <row r="63" spans="2:9" ht="15" customHeight="1" x14ac:dyDescent="0.15">
      <c r="B63" t="s">
        <v>128</v>
      </c>
      <c r="C63" s="12">
        <v>2164</v>
      </c>
      <c r="D63" s="8">
        <v>1.75</v>
      </c>
      <c r="E63" s="12">
        <v>1176</v>
      </c>
      <c r="F63" s="8">
        <v>1.59</v>
      </c>
      <c r="G63" s="12">
        <v>988</v>
      </c>
      <c r="H63" s="8">
        <v>1.99</v>
      </c>
      <c r="I63" s="12">
        <v>0</v>
      </c>
    </row>
    <row r="64" spans="2:9" ht="15" customHeight="1" x14ac:dyDescent="0.15">
      <c r="B64" t="s">
        <v>129</v>
      </c>
      <c r="C64" s="12">
        <v>2069</v>
      </c>
      <c r="D64" s="8">
        <v>1.67</v>
      </c>
      <c r="E64" s="12">
        <v>1441</v>
      </c>
      <c r="F64" s="8">
        <v>1.95</v>
      </c>
      <c r="G64" s="12">
        <v>619</v>
      </c>
      <c r="H64" s="8">
        <v>1.25</v>
      </c>
      <c r="I64" s="12">
        <v>9</v>
      </c>
    </row>
    <row r="65" spans="2:9" ht="15" customHeight="1" x14ac:dyDescent="0.15">
      <c r="B65" t="s">
        <v>130</v>
      </c>
      <c r="C65" s="12">
        <v>1950</v>
      </c>
      <c r="D65" s="8">
        <v>1.58</v>
      </c>
      <c r="E65" s="12">
        <v>1230</v>
      </c>
      <c r="F65" s="8">
        <v>1.67</v>
      </c>
      <c r="G65" s="12">
        <v>720</v>
      </c>
      <c r="H65" s="8">
        <v>1.45</v>
      </c>
      <c r="I65" s="12">
        <v>0</v>
      </c>
    </row>
    <row r="66" spans="2:9" ht="15" customHeight="1" x14ac:dyDescent="0.15">
      <c r="B66" t="s">
        <v>139</v>
      </c>
      <c r="C66" s="12">
        <v>1857</v>
      </c>
      <c r="D66" s="8">
        <v>1.5</v>
      </c>
      <c r="E66" s="12">
        <v>1003</v>
      </c>
      <c r="F66" s="8">
        <v>1.36</v>
      </c>
      <c r="G66" s="12">
        <v>854</v>
      </c>
      <c r="H66" s="8">
        <v>1.72</v>
      </c>
      <c r="I66" s="12">
        <v>0</v>
      </c>
    </row>
    <row r="67" spans="2:9" ht="15" customHeight="1" x14ac:dyDescent="0.15">
      <c r="B67" t="s">
        <v>133</v>
      </c>
      <c r="C67" s="12">
        <v>1643</v>
      </c>
      <c r="D67" s="8">
        <v>1.33</v>
      </c>
      <c r="E67" s="12">
        <v>393</v>
      </c>
      <c r="F67" s="8">
        <v>0.53</v>
      </c>
      <c r="G67" s="12">
        <v>1250</v>
      </c>
      <c r="H67" s="8">
        <v>2.52</v>
      </c>
      <c r="I67" s="12">
        <v>0</v>
      </c>
    </row>
    <row r="68" spans="2:9" ht="15" customHeight="1" x14ac:dyDescent="0.15">
      <c r="B68" t="s">
        <v>142</v>
      </c>
      <c r="C68" s="12">
        <v>1616</v>
      </c>
      <c r="D68" s="8">
        <v>1.31</v>
      </c>
      <c r="E68" s="12">
        <v>1237</v>
      </c>
      <c r="F68" s="8">
        <v>1.68</v>
      </c>
      <c r="G68" s="12">
        <v>376</v>
      </c>
      <c r="H68" s="8">
        <v>0.76</v>
      </c>
      <c r="I68" s="12">
        <v>3</v>
      </c>
    </row>
    <row r="69" spans="2:9" ht="15" customHeight="1" x14ac:dyDescent="0.15">
      <c r="B69" t="s">
        <v>126</v>
      </c>
      <c r="C69" s="12">
        <v>1608</v>
      </c>
      <c r="D69" s="8">
        <v>1.3</v>
      </c>
      <c r="E69" s="12">
        <v>384</v>
      </c>
      <c r="F69" s="8">
        <v>0.52</v>
      </c>
      <c r="G69" s="12">
        <v>1224</v>
      </c>
      <c r="H69" s="8">
        <v>2.46</v>
      </c>
      <c r="I69" s="12">
        <v>0</v>
      </c>
    </row>
    <row r="70" spans="2:9" ht="15" customHeight="1" x14ac:dyDescent="0.15">
      <c r="B70" t="s">
        <v>131</v>
      </c>
      <c r="C70" s="12">
        <v>1606</v>
      </c>
      <c r="D70" s="8">
        <v>1.3</v>
      </c>
      <c r="E70" s="12">
        <v>719</v>
      </c>
      <c r="F70" s="8">
        <v>0.97</v>
      </c>
      <c r="G70" s="12">
        <v>885</v>
      </c>
      <c r="H70" s="8">
        <v>1.78</v>
      </c>
      <c r="I70" s="12">
        <v>2</v>
      </c>
    </row>
    <row r="71" spans="2:9" ht="15" customHeight="1" x14ac:dyDescent="0.15">
      <c r="B71" t="s">
        <v>127</v>
      </c>
      <c r="C71" s="12">
        <v>1593</v>
      </c>
      <c r="D71" s="8">
        <v>1.29</v>
      </c>
      <c r="E71" s="12">
        <v>720</v>
      </c>
      <c r="F71" s="8">
        <v>0.98</v>
      </c>
      <c r="G71" s="12">
        <v>873</v>
      </c>
      <c r="H71" s="8">
        <v>1.76</v>
      </c>
      <c r="I71" s="12">
        <v>0</v>
      </c>
    </row>
    <row r="73" spans="2:9" ht="15" customHeight="1" x14ac:dyDescent="0.15">
      <c r="B73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377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92</v>
      </c>
      <c r="D6" s="8">
        <v>23.12</v>
      </c>
      <c r="E6" s="12">
        <v>67</v>
      </c>
      <c r="F6" s="8">
        <v>22.33</v>
      </c>
      <c r="G6" s="12">
        <v>25</v>
      </c>
      <c r="H6" s="8">
        <v>26.32</v>
      </c>
      <c r="I6" s="12">
        <v>0</v>
      </c>
    </row>
    <row r="7" spans="2:9" ht="15" customHeight="1" x14ac:dyDescent="0.15">
      <c r="B7" t="s">
        <v>53</v>
      </c>
      <c r="C7" s="12">
        <v>31</v>
      </c>
      <c r="D7" s="8">
        <v>7.79</v>
      </c>
      <c r="E7" s="12">
        <v>15</v>
      </c>
      <c r="F7" s="8">
        <v>5</v>
      </c>
      <c r="G7" s="12">
        <v>16</v>
      </c>
      <c r="H7" s="8">
        <v>16.84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56</v>
      </c>
      <c r="C10" s="12">
        <v>8</v>
      </c>
      <c r="D10" s="8">
        <v>2.0099999999999998</v>
      </c>
      <c r="E10" s="12">
        <v>2</v>
      </c>
      <c r="F10" s="8">
        <v>0.67</v>
      </c>
      <c r="G10" s="12">
        <v>6</v>
      </c>
      <c r="H10" s="8">
        <v>6.32</v>
      </c>
      <c r="I10" s="12">
        <v>0</v>
      </c>
    </row>
    <row r="11" spans="2:9" ht="15" customHeight="1" x14ac:dyDescent="0.15">
      <c r="B11" t="s">
        <v>57</v>
      </c>
      <c r="C11" s="12">
        <v>96</v>
      </c>
      <c r="D11" s="8">
        <v>24.12</v>
      </c>
      <c r="E11" s="12">
        <v>68</v>
      </c>
      <c r="F11" s="8">
        <v>22.67</v>
      </c>
      <c r="G11" s="12">
        <v>27</v>
      </c>
      <c r="H11" s="8">
        <v>28.42</v>
      </c>
      <c r="I11" s="12">
        <v>1</v>
      </c>
    </row>
    <row r="12" spans="2:9" ht="15" customHeight="1" x14ac:dyDescent="0.15">
      <c r="B12" t="s">
        <v>58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59</v>
      </c>
      <c r="C13" s="12">
        <v>11</v>
      </c>
      <c r="D13" s="8">
        <v>2.76</v>
      </c>
      <c r="E13" s="12">
        <v>8</v>
      </c>
      <c r="F13" s="8">
        <v>2.67</v>
      </c>
      <c r="G13" s="12">
        <v>3</v>
      </c>
      <c r="H13" s="8">
        <v>3.16</v>
      </c>
      <c r="I13" s="12">
        <v>0</v>
      </c>
    </row>
    <row r="14" spans="2:9" ht="15" customHeight="1" x14ac:dyDescent="0.15">
      <c r="B14" t="s">
        <v>60</v>
      </c>
      <c r="C14" s="12">
        <v>13</v>
      </c>
      <c r="D14" s="8">
        <v>3.27</v>
      </c>
      <c r="E14" s="12">
        <v>9</v>
      </c>
      <c r="F14" s="8">
        <v>3</v>
      </c>
      <c r="G14" s="12">
        <v>4</v>
      </c>
      <c r="H14" s="8">
        <v>4.21</v>
      </c>
      <c r="I14" s="12">
        <v>0</v>
      </c>
    </row>
    <row r="15" spans="2:9" ht="15" customHeight="1" x14ac:dyDescent="0.15">
      <c r="B15" t="s">
        <v>61</v>
      </c>
      <c r="C15" s="12">
        <v>51</v>
      </c>
      <c r="D15" s="8">
        <v>12.81</v>
      </c>
      <c r="E15" s="12">
        <v>48</v>
      </c>
      <c r="F15" s="8">
        <v>16</v>
      </c>
      <c r="G15" s="12">
        <v>2</v>
      </c>
      <c r="H15" s="8">
        <v>2.11</v>
      </c>
      <c r="I15" s="12">
        <v>1</v>
      </c>
    </row>
    <row r="16" spans="2:9" ht="15" customHeight="1" x14ac:dyDescent="0.15">
      <c r="B16" t="s">
        <v>62</v>
      </c>
      <c r="C16" s="12">
        <v>41</v>
      </c>
      <c r="D16" s="8">
        <v>10.3</v>
      </c>
      <c r="E16" s="12">
        <v>37</v>
      </c>
      <c r="F16" s="8">
        <v>12.33</v>
      </c>
      <c r="G16" s="12">
        <v>3</v>
      </c>
      <c r="H16" s="8">
        <v>3.16</v>
      </c>
      <c r="I16" s="12">
        <v>1</v>
      </c>
    </row>
    <row r="17" spans="2:9" ht="15" customHeight="1" x14ac:dyDescent="0.15">
      <c r="B17" t="s">
        <v>63</v>
      </c>
      <c r="C17" s="12">
        <v>21</v>
      </c>
      <c r="D17" s="8">
        <v>5.28</v>
      </c>
      <c r="E17" s="12">
        <v>20</v>
      </c>
      <c r="F17" s="8">
        <v>6.67</v>
      </c>
      <c r="G17" s="12">
        <v>1</v>
      </c>
      <c r="H17" s="8">
        <v>1.05</v>
      </c>
      <c r="I17" s="12">
        <v>0</v>
      </c>
    </row>
    <row r="18" spans="2:9" ht="15" customHeight="1" x14ac:dyDescent="0.15">
      <c r="B18" t="s">
        <v>64</v>
      </c>
      <c r="C18" s="12">
        <v>8</v>
      </c>
      <c r="D18" s="8">
        <v>2.0099999999999998</v>
      </c>
      <c r="E18" s="12">
        <v>7</v>
      </c>
      <c r="F18" s="8">
        <v>2.33</v>
      </c>
      <c r="G18" s="12">
        <v>1</v>
      </c>
      <c r="H18" s="8">
        <v>1.05</v>
      </c>
      <c r="I18" s="12">
        <v>0</v>
      </c>
    </row>
    <row r="19" spans="2:9" ht="15" customHeight="1" x14ac:dyDescent="0.15">
      <c r="B19" t="s">
        <v>65</v>
      </c>
      <c r="C19" s="12">
        <v>26</v>
      </c>
      <c r="D19" s="8">
        <v>6.53</v>
      </c>
      <c r="E19" s="12">
        <v>19</v>
      </c>
      <c r="F19" s="8">
        <v>6.33</v>
      </c>
      <c r="G19" s="12">
        <v>7</v>
      </c>
      <c r="H19" s="8">
        <v>7.37</v>
      </c>
      <c r="I19" s="12">
        <v>0</v>
      </c>
    </row>
    <row r="20" spans="2:9" ht="15" customHeight="1" x14ac:dyDescent="0.15">
      <c r="B20" s="9" t="s">
        <v>215</v>
      </c>
      <c r="C20" s="12">
        <f>SUM(LTBL_28446[総数／事業所数])</f>
        <v>398</v>
      </c>
      <c r="E20" s="12">
        <f>SUBTOTAL(109,LTBL_28446[個人／事業所数])</f>
        <v>300</v>
      </c>
      <c r="G20" s="12">
        <f>SUBTOTAL(109,LTBL_28446[法人／事業所数])</f>
        <v>95</v>
      </c>
      <c r="I20" s="12">
        <f>SUBTOTAL(109,LTBL_28446[法人以外の団体／事業所数])</f>
        <v>3</v>
      </c>
    </row>
    <row r="21" spans="2:9" ht="15" customHeight="1" x14ac:dyDescent="0.15">
      <c r="E21" s="11">
        <f>LTBL_28446[[#Totals],[個人／事業所数]]/LTBL_28446[[#Totals],[総数／事業所数]]</f>
        <v>0.75376884422110557</v>
      </c>
      <c r="G21" s="11">
        <f>LTBL_28446[[#Totals],[法人／事業所数]]/LTBL_28446[[#Totals],[総数／事業所数]]</f>
        <v>0.23869346733668342</v>
      </c>
      <c r="I21" s="11">
        <f>LTBL_28446[[#Totals],[法人以外の団体／事業所数]]/LTBL_28446[[#Totals],[総数／事業所数]]</f>
        <v>7.537688442211055E-3</v>
      </c>
    </row>
    <row r="23" spans="2:9" ht="33" customHeight="1" x14ac:dyDescent="0.15">
      <c r="B23" t="s">
        <v>214</v>
      </c>
      <c r="C23" s="10" t="s">
        <v>67</v>
      </c>
      <c r="D23" s="10" t="s">
        <v>221</v>
      </c>
      <c r="E23" s="10" t="s">
        <v>69</v>
      </c>
      <c r="F23" s="10" t="s">
        <v>378</v>
      </c>
      <c r="G23" s="10" t="s">
        <v>71</v>
      </c>
      <c r="H23" s="10" t="s">
        <v>313</v>
      </c>
      <c r="I23" s="10" t="s">
        <v>73</v>
      </c>
    </row>
    <row r="24" spans="2:9" ht="15" customHeight="1" x14ac:dyDescent="0.15">
      <c r="B24" t="s">
        <v>217</v>
      </c>
      <c r="C24">
        <v>2</v>
      </c>
      <c r="D24" t="s">
        <v>216</v>
      </c>
      <c r="E24">
        <v>0</v>
      </c>
      <c r="F24" t="s">
        <v>218</v>
      </c>
      <c r="G24">
        <v>2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2</v>
      </c>
      <c r="D25" t="s">
        <v>216</v>
      </c>
      <c r="E25">
        <v>0</v>
      </c>
      <c r="F25" t="s">
        <v>218</v>
      </c>
      <c r="G25">
        <v>2</v>
      </c>
      <c r="H25" t="s">
        <v>219</v>
      </c>
      <c r="I25">
        <v>0</v>
      </c>
    </row>
    <row r="28" spans="2:9" ht="33" customHeight="1" x14ac:dyDescent="0.15">
      <c r="B28" t="s">
        <v>224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89</v>
      </c>
      <c r="C29" s="12">
        <v>46</v>
      </c>
      <c r="D29" s="8">
        <v>11.56</v>
      </c>
      <c r="E29" s="12">
        <v>45</v>
      </c>
      <c r="F29" s="8">
        <v>15</v>
      </c>
      <c r="G29" s="12">
        <v>0</v>
      </c>
      <c r="H29" s="8">
        <v>0</v>
      </c>
      <c r="I29" s="12">
        <v>1</v>
      </c>
    </row>
    <row r="30" spans="2:9" ht="15" customHeight="1" x14ac:dyDescent="0.15">
      <c r="B30" t="s">
        <v>74</v>
      </c>
      <c r="C30" s="12">
        <v>38</v>
      </c>
      <c r="D30" s="8">
        <v>9.5500000000000007</v>
      </c>
      <c r="E30" s="12">
        <v>19</v>
      </c>
      <c r="F30" s="8">
        <v>6.33</v>
      </c>
      <c r="G30" s="12">
        <v>19</v>
      </c>
      <c r="H30" s="8">
        <v>20</v>
      </c>
      <c r="I30" s="12">
        <v>0</v>
      </c>
    </row>
    <row r="31" spans="2:9" ht="15" customHeight="1" x14ac:dyDescent="0.15">
      <c r="B31" t="s">
        <v>75</v>
      </c>
      <c r="C31" s="12">
        <v>38</v>
      </c>
      <c r="D31" s="8">
        <v>9.5500000000000007</v>
      </c>
      <c r="E31" s="12">
        <v>34</v>
      </c>
      <c r="F31" s="8">
        <v>11.33</v>
      </c>
      <c r="G31" s="12">
        <v>4</v>
      </c>
      <c r="H31" s="8">
        <v>4.21</v>
      </c>
      <c r="I31" s="12">
        <v>0</v>
      </c>
    </row>
    <row r="32" spans="2:9" ht="15" customHeight="1" x14ac:dyDescent="0.15">
      <c r="B32" t="s">
        <v>90</v>
      </c>
      <c r="C32" s="12">
        <v>33</v>
      </c>
      <c r="D32" s="8">
        <v>8.2899999999999991</v>
      </c>
      <c r="E32" s="12">
        <v>31</v>
      </c>
      <c r="F32" s="8">
        <v>10.33</v>
      </c>
      <c r="G32" s="12">
        <v>2</v>
      </c>
      <c r="H32" s="8">
        <v>2.11</v>
      </c>
      <c r="I32" s="12">
        <v>0</v>
      </c>
    </row>
    <row r="33" spans="2:9" ht="15" customHeight="1" x14ac:dyDescent="0.15">
      <c r="B33" t="s">
        <v>82</v>
      </c>
      <c r="C33" s="12">
        <v>28</v>
      </c>
      <c r="D33" s="8">
        <v>7.04</v>
      </c>
      <c r="E33" s="12">
        <v>20</v>
      </c>
      <c r="F33" s="8">
        <v>6.67</v>
      </c>
      <c r="G33" s="12">
        <v>7</v>
      </c>
      <c r="H33" s="8">
        <v>7.37</v>
      </c>
      <c r="I33" s="12">
        <v>1</v>
      </c>
    </row>
    <row r="34" spans="2:9" ht="15" customHeight="1" x14ac:dyDescent="0.15">
      <c r="B34" t="s">
        <v>84</v>
      </c>
      <c r="C34" s="12">
        <v>27</v>
      </c>
      <c r="D34" s="8">
        <v>6.78</v>
      </c>
      <c r="E34" s="12">
        <v>20</v>
      </c>
      <c r="F34" s="8">
        <v>6.67</v>
      </c>
      <c r="G34" s="12">
        <v>7</v>
      </c>
      <c r="H34" s="8">
        <v>7.37</v>
      </c>
      <c r="I34" s="12">
        <v>0</v>
      </c>
    </row>
    <row r="35" spans="2:9" ht="15" customHeight="1" x14ac:dyDescent="0.15">
      <c r="B35" t="s">
        <v>92</v>
      </c>
      <c r="C35" s="12">
        <v>21</v>
      </c>
      <c r="D35" s="8">
        <v>5.28</v>
      </c>
      <c r="E35" s="12">
        <v>20</v>
      </c>
      <c r="F35" s="8">
        <v>6.67</v>
      </c>
      <c r="G35" s="12">
        <v>1</v>
      </c>
      <c r="H35" s="8">
        <v>1.05</v>
      </c>
      <c r="I35" s="12">
        <v>0</v>
      </c>
    </row>
    <row r="36" spans="2:9" ht="15" customHeight="1" x14ac:dyDescent="0.15">
      <c r="B36" t="s">
        <v>76</v>
      </c>
      <c r="C36" s="12">
        <v>16</v>
      </c>
      <c r="D36" s="8">
        <v>4.0199999999999996</v>
      </c>
      <c r="E36" s="12">
        <v>14</v>
      </c>
      <c r="F36" s="8">
        <v>4.67</v>
      </c>
      <c r="G36" s="12">
        <v>2</v>
      </c>
      <c r="H36" s="8">
        <v>2.11</v>
      </c>
      <c r="I36" s="12">
        <v>0</v>
      </c>
    </row>
    <row r="37" spans="2:9" ht="15" customHeight="1" x14ac:dyDescent="0.15">
      <c r="B37" t="s">
        <v>106</v>
      </c>
      <c r="C37" s="12">
        <v>16</v>
      </c>
      <c r="D37" s="8">
        <v>4.0199999999999996</v>
      </c>
      <c r="E37" s="12">
        <v>15</v>
      </c>
      <c r="F37" s="8">
        <v>5</v>
      </c>
      <c r="G37" s="12">
        <v>1</v>
      </c>
      <c r="H37" s="8">
        <v>1.05</v>
      </c>
      <c r="I37" s="12">
        <v>0</v>
      </c>
    </row>
    <row r="38" spans="2:9" ht="15" customHeight="1" x14ac:dyDescent="0.15">
      <c r="B38" t="s">
        <v>83</v>
      </c>
      <c r="C38" s="12">
        <v>15</v>
      </c>
      <c r="D38" s="8">
        <v>3.77</v>
      </c>
      <c r="E38" s="12">
        <v>11</v>
      </c>
      <c r="F38" s="8">
        <v>3.67</v>
      </c>
      <c r="G38" s="12">
        <v>4</v>
      </c>
      <c r="H38" s="8">
        <v>4.21</v>
      </c>
      <c r="I38" s="12">
        <v>0</v>
      </c>
    </row>
    <row r="39" spans="2:9" ht="15" customHeight="1" x14ac:dyDescent="0.15">
      <c r="B39" t="s">
        <v>81</v>
      </c>
      <c r="C39" s="12">
        <v>13</v>
      </c>
      <c r="D39" s="8">
        <v>3.27</v>
      </c>
      <c r="E39" s="12">
        <v>13</v>
      </c>
      <c r="F39" s="8">
        <v>4.33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113</v>
      </c>
      <c r="C40" s="12">
        <v>10</v>
      </c>
      <c r="D40" s="8">
        <v>2.5099999999999998</v>
      </c>
      <c r="E40" s="12">
        <v>6</v>
      </c>
      <c r="F40" s="8">
        <v>2</v>
      </c>
      <c r="G40" s="12">
        <v>4</v>
      </c>
      <c r="H40" s="8">
        <v>4.21</v>
      </c>
      <c r="I40" s="12">
        <v>0</v>
      </c>
    </row>
    <row r="41" spans="2:9" ht="15" customHeight="1" x14ac:dyDescent="0.15">
      <c r="B41" t="s">
        <v>86</v>
      </c>
      <c r="C41" s="12">
        <v>9</v>
      </c>
      <c r="D41" s="8">
        <v>2.2599999999999998</v>
      </c>
      <c r="E41" s="12">
        <v>7</v>
      </c>
      <c r="F41" s="8">
        <v>2.33</v>
      </c>
      <c r="G41" s="12">
        <v>2</v>
      </c>
      <c r="H41" s="8">
        <v>2.11</v>
      </c>
      <c r="I41" s="12">
        <v>0</v>
      </c>
    </row>
    <row r="42" spans="2:9" ht="15" customHeight="1" x14ac:dyDescent="0.15">
      <c r="B42" t="s">
        <v>88</v>
      </c>
      <c r="C42" s="12">
        <v>9</v>
      </c>
      <c r="D42" s="8">
        <v>2.2599999999999998</v>
      </c>
      <c r="E42" s="12">
        <v>6</v>
      </c>
      <c r="F42" s="8">
        <v>2</v>
      </c>
      <c r="G42" s="12">
        <v>3</v>
      </c>
      <c r="H42" s="8">
        <v>3.16</v>
      </c>
      <c r="I42" s="12">
        <v>0</v>
      </c>
    </row>
    <row r="43" spans="2:9" ht="15" customHeight="1" x14ac:dyDescent="0.15">
      <c r="B43" t="s">
        <v>93</v>
      </c>
      <c r="C43" s="12">
        <v>8</v>
      </c>
      <c r="D43" s="8">
        <v>2.0099999999999998</v>
      </c>
      <c r="E43" s="12">
        <v>7</v>
      </c>
      <c r="F43" s="8">
        <v>2.33</v>
      </c>
      <c r="G43" s="12">
        <v>1</v>
      </c>
      <c r="H43" s="8">
        <v>1.05</v>
      </c>
      <c r="I43" s="12">
        <v>0</v>
      </c>
    </row>
    <row r="44" spans="2:9" ht="15" customHeight="1" x14ac:dyDescent="0.15">
      <c r="B44" t="s">
        <v>95</v>
      </c>
      <c r="C44" s="12">
        <v>5</v>
      </c>
      <c r="D44" s="8">
        <v>1.26</v>
      </c>
      <c r="E44" s="12">
        <v>2</v>
      </c>
      <c r="F44" s="8">
        <v>0.67</v>
      </c>
      <c r="G44" s="12">
        <v>3</v>
      </c>
      <c r="H44" s="8">
        <v>3.16</v>
      </c>
      <c r="I44" s="12">
        <v>0</v>
      </c>
    </row>
    <row r="45" spans="2:9" ht="15" customHeight="1" x14ac:dyDescent="0.15">
      <c r="B45" t="s">
        <v>97</v>
      </c>
      <c r="C45" s="12">
        <v>5</v>
      </c>
      <c r="D45" s="8">
        <v>1.26</v>
      </c>
      <c r="E45" s="12">
        <v>2</v>
      </c>
      <c r="F45" s="8">
        <v>0.67</v>
      </c>
      <c r="G45" s="12">
        <v>3</v>
      </c>
      <c r="H45" s="8">
        <v>3.16</v>
      </c>
      <c r="I45" s="12">
        <v>0</v>
      </c>
    </row>
    <row r="46" spans="2:9" ht="15" customHeight="1" x14ac:dyDescent="0.15">
      <c r="B46" t="s">
        <v>103</v>
      </c>
      <c r="C46" s="12">
        <v>4</v>
      </c>
      <c r="D46" s="8">
        <v>1.01</v>
      </c>
      <c r="E46" s="12">
        <v>2</v>
      </c>
      <c r="F46" s="8">
        <v>0.67</v>
      </c>
      <c r="G46" s="12">
        <v>2</v>
      </c>
      <c r="H46" s="8">
        <v>2.11</v>
      </c>
      <c r="I46" s="12">
        <v>0</v>
      </c>
    </row>
    <row r="47" spans="2:9" ht="15" customHeight="1" x14ac:dyDescent="0.15">
      <c r="B47" t="s">
        <v>87</v>
      </c>
      <c r="C47" s="12">
        <v>4</v>
      </c>
      <c r="D47" s="8">
        <v>1.01</v>
      </c>
      <c r="E47" s="12">
        <v>3</v>
      </c>
      <c r="F47" s="8">
        <v>1</v>
      </c>
      <c r="G47" s="12">
        <v>1</v>
      </c>
      <c r="H47" s="8">
        <v>1.05</v>
      </c>
      <c r="I47" s="12">
        <v>0</v>
      </c>
    </row>
    <row r="48" spans="2:9" ht="15" customHeight="1" x14ac:dyDescent="0.15">
      <c r="B48" t="s">
        <v>91</v>
      </c>
      <c r="C48" s="12">
        <v>4</v>
      </c>
      <c r="D48" s="8">
        <v>1.01</v>
      </c>
      <c r="E48" s="12">
        <v>4</v>
      </c>
      <c r="F48" s="8">
        <v>1.33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109</v>
      </c>
      <c r="C49" s="12">
        <v>4</v>
      </c>
      <c r="D49" s="8">
        <v>1.01</v>
      </c>
      <c r="E49" s="12">
        <v>2</v>
      </c>
      <c r="F49" s="8">
        <v>0.67</v>
      </c>
      <c r="G49" s="12">
        <v>1</v>
      </c>
      <c r="H49" s="8">
        <v>1.05</v>
      </c>
      <c r="I49" s="12">
        <v>1</v>
      </c>
    </row>
    <row r="52" spans="2:9" ht="33" customHeight="1" x14ac:dyDescent="0.15">
      <c r="B52" t="s">
        <v>225</v>
      </c>
      <c r="C52" s="10" t="s">
        <v>67</v>
      </c>
      <c r="D52" s="10" t="s">
        <v>68</v>
      </c>
      <c r="E52" s="10" t="s">
        <v>69</v>
      </c>
      <c r="F52" s="10" t="s">
        <v>70</v>
      </c>
      <c r="G52" s="10" t="s">
        <v>71</v>
      </c>
      <c r="H52" s="10" t="s">
        <v>72</v>
      </c>
      <c r="I52" s="10" t="s">
        <v>73</v>
      </c>
    </row>
    <row r="53" spans="2:9" ht="15" customHeight="1" x14ac:dyDescent="0.15">
      <c r="B53" t="s">
        <v>125</v>
      </c>
      <c r="C53" s="12">
        <v>27</v>
      </c>
      <c r="D53" s="8">
        <v>6.78</v>
      </c>
      <c r="E53" s="12">
        <v>13</v>
      </c>
      <c r="F53" s="8">
        <v>4.33</v>
      </c>
      <c r="G53" s="12">
        <v>14</v>
      </c>
      <c r="H53" s="8">
        <v>14.74</v>
      </c>
      <c r="I53" s="12">
        <v>0</v>
      </c>
    </row>
    <row r="54" spans="2:9" ht="15" customHeight="1" x14ac:dyDescent="0.15">
      <c r="B54" t="s">
        <v>138</v>
      </c>
      <c r="C54" s="12">
        <v>16</v>
      </c>
      <c r="D54" s="8">
        <v>4.0199999999999996</v>
      </c>
      <c r="E54" s="12">
        <v>16</v>
      </c>
      <c r="F54" s="8">
        <v>5.33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166</v>
      </c>
      <c r="C55" s="12">
        <v>16</v>
      </c>
      <c r="D55" s="8">
        <v>4.0199999999999996</v>
      </c>
      <c r="E55" s="12">
        <v>15</v>
      </c>
      <c r="F55" s="8">
        <v>5</v>
      </c>
      <c r="G55" s="12">
        <v>1</v>
      </c>
      <c r="H55" s="8">
        <v>1.05</v>
      </c>
      <c r="I55" s="12">
        <v>0</v>
      </c>
    </row>
    <row r="56" spans="2:9" ht="15" customHeight="1" x14ac:dyDescent="0.15">
      <c r="B56" t="s">
        <v>181</v>
      </c>
      <c r="C56" s="12">
        <v>15</v>
      </c>
      <c r="D56" s="8">
        <v>3.77</v>
      </c>
      <c r="E56" s="12">
        <v>14</v>
      </c>
      <c r="F56" s="8">
        <v>4.67</v>
      </c>
      <c r="G56" s="12">
        <v>1</v>
      </c>
      <c r="H56" s="8">
        <v>1.05</v>
      </c>
      <c r="I56" s="12">
        <v>0</v>
      </c>
    </row>
    <row r="57" spans="2:9" ht="15" customHeight="1" x14ac:dyDescent="0.15">
      <c r="B57" t="s">
        <v>143</v>
      </c>
      <c r="C57" s="12">
        <v>15</v>
      </c>
      <c r="D57" s="8">
        <v>3.77</v>
      </c>
      <c r="E57" s="12">
        <v>15</v>
      </c>
      <c r="F57" s="8">
        <v>5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141</v>
      </c>
      <c r="C58" s="12">
        <v>14</v>
      </c>
      <c r="D58" s="8">
        <v>3.52</v>
      </c>
      <c r="E58" s="12">
        <v>14</v>
      </c>
      <c r="F58" s="8">
        <v>4.67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140</v>
      </c>
      <c r="C59" s="12">
        <v>12</v>
      </c>
      <c r="D59" s="8">
        <v>3.02</v>
      </c>
      <c r="E59" s="12">
        <v>12</v>
      </c>
      <c r="F59" s="8">
        <v>4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188</v>
      </c>
      <c r="C60" s="12">
        <v>11</v>
      </c>
      <c r="D60" s="8">
        <v>2.76</v>
      </c>
      <c r="E60" s="12">
        <v>11</v>
      </c>
      <c r="F60" s="8">
        <v>3.67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129</v>
      </c>
      <c r="C61" s="12">
        <v>11</v>
      </c>
      <c r="D61" s="8">
        <v>2.76</v>
      </c>
      <c r="E61" s="12">
        <v>6</v>
      </c>
      <c r="F61" s="8">
        <v>2</v>
      </c>
      <c r="G61" s="12">
        <v>4</v>
      </c>
      <c r="H61" s="8">
        <v>4.21</v>
      </c>
      <c r="I61" s="12">
        <v>1</v>
      </c>
    </row>
    <row r="62" spans="2:9" ht="15" customHeight="1" x14ac:dyDescent="0.15">
      <c r="B62" t="s">
        <v>135</v>
      </c>
      <c r="C62" s="12">
        <v>11</v>
      </c>
      <c r="D62" s="8">
        <v>2.76</v>
      </c>
      <c r="E62" s="12">
        <v>11</v>
      </c>
      <c r="F62" s="8">
        <v>3.67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132</v>
      </c>
      <c r="C63" s="12">
        <v>10</v>
      </c>
      <c r="D63" s="8">
        <v>2.5099999999999998</v>
      </c>
      <c r="E63" s="12">
        <v>8</v>
      </c>
      <c r="F63" s="8">
        <v>2.67</v>
      </c>
      <c r="G63" s="12">
        <v>2</v>
      </c>
      <c r="H63" s="8">
        <v>2.11</v>
      </c>
      <c r="I63" s="12">
        <v>0</v>
      </c>
    </row>
    <row r="64" spans="2:9" ht="15" customHeight="1" x14ac:dyDescent="0.15">
      <c r="B64" t="s">
        <v>130</v>
      </c>
      <c r="C64" s="12">
        <v>9</v>
      </c>
      <c r="D64" s="8">
        <v>2.2599999999999998</v>
      </c>
      <c r="E64" s="12">
        <v>8</v>
      </c>
      <c r="F64" s="8">
        <v>2.67</v>
      </c>
      <c r="G64" s="12">
        <v>1</v>
      </c>
      <c r="H64" s="8">
        <v>1.05</v>
      </c>
      <c r="I64" s="12">
        <v>0</v>
      </c>
    </row>
    <row r="65" spans="2:9" ht="15" customHeight="1" x14ac:dyDescent="0.15">
      <c r="B65" t="s">
        <v>127</v>
      </c>
      <c r="C65" s="12">
        <v>8</v>
      </c>
      <c r="D65" s="8">
        <v>2.0099999999999998</v>
      </c>
      <c r="E65" s="12">
        <v>7</v>
      </c>
      <c r="F65" s="8">
        <v>2.33</v>
      </c>
      <c r="G65" s="12">
        <v>1</v>
      </c>
      <c r="H65" s="8">
        <v>1.05</v>
      </c>
      <c r="I65" s="12">
        <v>0</v>
      </c>
    </row>
    <row r="66" spans="2:9" ht="15" customHeight="1" x14ac:dyDescent="0.15">
      <c r="B66" t="s">
        <v>191</v>
      </c>
      <c r="C66" s="12">
        <v>8</v>
      </c>
      <c r="D66" s="8">
        <v>2.0099999999999998</v>
      </c>
      <c r="E66" s="12">
        <v>5</v>
      </c>
      <c r="F66" s="8">
        <v>1.67</v>
      </c>
      <c r="G66" s="12">
        <v>3</v>
      </c>
      <c r="H66" s="8">
        <v>3.16</v>
      </c>
      <c r="I66" s="12">
        <v>0</v>
      </c>
    </row>
    <row r="67" spans="2:9" ht="15" customHeight="1" x14ac:dyDescent="0.15">
      <c r="B67" t="s">
        <v>160</v>
      </c>
      <c r="C67" s="12">
        <v>7</v>
      </c>
      <c r="D67" s="8">
        <v>1.76</v>
      </c>
      <c r="E67" s="12">
        <v>6</v>
      </c>
      <c r="F67" s="8">
        <v>2</v>
      </c>
      <c r="G67" s="12">
        <v>1</v>
      </c>
      <c r="H67" s="8">
        <v>1.05</v>
      </c>
      <c r="I67" s="12">
        <v>0</v>
      </c>
    </row>
    <row r="68" spans="2:9" ht="15" customHeight="1" x14ac:dyDescent="0.15">
      <c r="B68" t="s">
        <v>150</v>
      </c>
      <c r="C68" s="12">
        <v>7</v>
      </c>
      <c r="D68" s="8">
        <v>1.76</v>
      </c>
      <c r="E68" s="12">
        <v>4</v>
      </c>
      <c r="F68" s="8">
        <v>1.33</v>
      </c>
      <c r="G68" s="12">
        <v>3</v>
      </c>
      <c r="H68" s="8">
        <v>3.16</v>
      </c>
      <c r="I68" s="12">
        <v>0</v>
      </c>
    </row>
    <row r="69" spans="2:9" ht="15" customHeight="1" x14ac:dyDescent="0.15">
      <c r="B69" t="s">
        <v>171</v>
      </c>
      <c r="C69" s="12">
        <v>7</v>
      </c>
      <c r="D69" s="8">
        <v>1.76</v>
      </c>
      <c r="E69" s="12">
        <v>6</v>
      </c>
      <c r="F69" s="8">
        <v>2</v>
      </c>
      <c r="G69" s="12">
        <v>0</v>
      </c>
      <c r="H69" s="8">
        <v>0</v>
      </c>
      <c r="I69" s="12">
        <v>1</v>
      </c>
    </row>
    <row r="70" spans="2:9" ht="15" customHeight="1" x14ac:dyDescent="0.15">
      <c r="B70" t="s">
        <v>167</v>
      </c>
      <c r="C70" s="12">
        <v>6</v>
      </c>
      <c r="D70" s="8">
        <v>1.51</v>
      </c>
      <c r="E70" s="12">
        <v>4</v>
      </c>
      <c r="F70" s="8">
        <v>1.33</v>
      </c>
      <c r="G70" s="12">
        <v>2</v>
      </c>
      <c r="H70" s="8">
        <v>2.11</v>
      </c>
      <c r="I70" s="12">
        <v>0</v>
      </c>
    </row>
    <row r="71" spans="2:9" ht="15" customHeight="1" x14ac:dyDescent="0.15">
      <c r="B71" t="s">
        <v>128</v>
      </c>
      <c r="C71" s="12">
        <v>6</v>
      </c>
      <c r="D71" s="8">
        <v>1.51</v>
      </c>
      <c r="E71" s="12">
        <v>6</v>
      </c>
      <c r="F71" s="8">
        <v>2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155</v>
      </c>
      <c r="C72" s="12">
        <v>6</v>
      </c>
      <c r="D72" s="8">
        <v>1.51</v>
      </c>
      <c r="E72" s="12">
        <v>6</v>
      </c>
      <c r="F72" s="8">
        <v>2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146</v>
      </c>
      <c r="C73" s="12">
        <v>6</v>
      </c>
      <c r="D73" s="8">
        <v>1.51</v>
      </c>
      <c r="E73" s="12">
        <v>4</v>
      </c>
      <c r="F73" s="8">
        <v>1.33</v>
      </c>
      <c r="G73" s="12">
        <v>2</v>
      </c>
      <c r="H73" s="8">
        <v>2.11</v>
      </c>
      <c r="I73" s="12">
        <v>0</v>
      </c>
    </row>
    <row r="74" spans="2:9" ht="15" customHeight="1" x14ac:dyDescent="0.15">
      <c r="B74" t="s">
        <v>139</v>
      </c>
      <c r="C74" s="12">
        <v>6</v>
      </c>
      <c r="D74" s="8">
        <v>1.51</v>
      </c>
      <c r="E74" s="12">
        <v>4</v>
      </c>
      <c r="F74" s="8">
        <v>1.33</v>
      </c>
      <c r="G74" s="12">
        <v>2</v>
      </c>
      <c r="H74" s="8">
        <v>2.11</v>
      </c>
      <c r="I74" s="12">
        <v>0</v>
      </c>
    </row>
    <row r="76" spans="2:9" ht="15" customHeight="1" x14ac:dyDescent="0.15">
      <c r="B76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379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150</v>
      </c>
      <c r="D6" s="8">
        <v>19.63</v>
      </c>
      <c r="E6" s="12">
        <v>74</v>
      </c>
      <c r="F6" s="8">
        <v>14.2</v>
      </c>
      <c r="G6" s="12">
        <v>76</v>
      </c>
      <c r="H6" s="8">
        <v>31.67</v>
      </c>
      <c r="I6" s="12">
        <v>0</v>
      </c>
    </row>
    <row r="7" spans="2:9" ht="15" customHeight="1" x14ac:dyDescent="0.15">
      <c r="B7" t="s">
        <v>53</v>
      </c>
      <c r="C7" s="12">
        <v>52</v>
      </c>
      <c r="D7" s="8">
        <v>6.81</v>
      </c>
      <c r="E7" s="12">
        <v>24</v>
      </c>
      <c r="F7" s="8">
        <v>4.6100000000000003</v>
      </c>
      <c r="G7" s="12">
        <v>27</v>
      </c>
      <c r="H7" s="8">
        <v>11.25</v>
      </c>
      <c r="I7" s="12">
        <v>1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3</v>
      </c>
      <c r="D9" s="8">
        <v>0.39</v>
      </c>
      <c r="E9" s="12">
        <v>1</v>
      </c>
      <c r="F9" s="8">
        <v>0.19</v>
      </c>
      <c r="G9" s="12">
        <v>2</v>
      </c>
      <c r="H9" s="8">
        <v>0.83</v>
      </c>
      <c r="I9" s="12">
        <v>0</v>
      </c>
    </row>
    <row r="10" spans="2:9" ht="15" customHeight="1" x14ac:dyDescent="0.15">
      <c r="B10" t="s">
        <v>56</v>
      </c>
      <c r="C10" s="12">
        <v>7</v>
      </c>
      <c r="D10" s="8">
        <v>0.92</v>
      </c>
      <c r="E10" s="12">
        <v>3</v>
      </c>
      <c r="F10" s="8">
        <v>0.57999999999999996</v>
      </c>
      <c r="G10" s="12">
        <v>4</v>
      </c>
      <c r="H10" s="8">
        <v>1.67</v>
      </c>
      <c r="I10" s="12">
        <v>0</v>
      </c>
    </row>
    <row r="11" spans="2:9" ht="15" customHeight="1" x14ac:dyDescent="0.15">
      <c r="B11" t="s">
        <v>57</v>
      </c>
      <c r="C11" s="12">
        <v>174</v>
      </c>
      <c r="D11" s="8">
        <v>22.77</v>
      </c>
      <c r="E11" s="12">
        <v>105</v>
      </c>
      <c r="F11" s="8">
        <v>20.149999999999999</v>
      </c>
      <c r="G11" s="12">
        <v>67</v>
      </c>
      <c r="H11" s="8">
        <v>27.92</v>
      </c>
      <c r="I11" s="12">
        <v>2</v>
      </c>
    </row>
    <row r="12" spans="2:9" ht="15" customHeight="1" x14ac:dyDescent="0.15">
      <c r="B12" t="s">
        <v>58</v>
      </c>
      <c r="C12" s="12">
        <v>4</v>
      </c>
      <c r="D12" s="8">
        <v>0.52</v>
      </c>
      <c r="E12" s="12">
        <v>3</v>
      </c>
      <c r="F12" s="8">
        <v>0.57999999999999996</v>
      </c>
      <c r="G12" s="12">
        <v>1</v>
      </c>
      <c r="H12" s="8">
        <v>0.42</v>
      </c>
      <c r="I12" s="12">
        <v>0</v>
      </c>
    </row>
    <row r="13" spans="2:9" ht="15" customHeight="1" x14ac:dyDescent="0.15">
      <c r="B13" t="s">
        <v>59</v>
      </c>
      <c r="C13" s="12">
        <v>67</v>
      </c>
      <c r="D13" s="8">
        <v>8.77</v>
      </c>
      <c r="E13" s="12">
        <v>44</v>
      </c>
      <c r="F13" s="8">
        <v>8.4499999999999993</v>
      </c>
      <c r="G13" s="12">
        <v>23</v>
      </c>
      <c r="H13" s="8">
        <v>9.58</v>
      </c>
      <c r="I13" s="12">
        <v>0</v>
      </c>
    </row>
    <row r="14" spans="2:9" ht="15" customHeight="1" x14ac:dyDescent="0.15">
      <c r="B14" t="s">
        <v>60</v>
      </c>
      <c r="C14" s="12">
        <v>31</v>
      </c>
      <c r="D14" s="8">
        <v>4.0599999999999996</v>
      </c>
      <c r="E14" s="12">
        <v>25</v>
      </c>
      <c r="F14" s="8">
        <v>4.8</v>
      </c>
      <c r="G14" s="12">
        <v>6</v>
      </c>
      <c r="H14" s="8">
        <v>2.5</v>
      </c>
      <c r="I14" s="12">
        <v>0</v>
      </c>
    </row>
    <row r="15" spans="2:9" ht="15" customHeight="1" x14ac:dyDescent="0.15">
      <c r="B15" t="s">
        <v>61</v>
      </c>
      <c r="C15" s="12">
        <v>76</v>
      </c>
      <c r="D15" s="8">
        <v>9.9499999999999993</v>
      </c>
      <c r="E15" s="12">
        <v>70</v>
      </c>
      <c r="F15" s="8">
        <v>13.44</v>
      </c>
      <c r="G15" s="12">
        <v>6</v>
      </c>
      <c r="H15" s="8">
        <v>2.5</v>
      </c>
      <c r="I15" s="12">
        <v>0</v>
      </c>
    </row>
    <row r="16" spans="2:9" ht="15" customHeight="1" x14ac:dyDescent="0.15">
      <c r="B16" t="s">
        <v>62</v>
      </c>
      <c r="C16" s="12">
        <v>94</v>
      </c>
      <c r="D16" s="8">
        <v>12.3</v>
      </c>
      <c r="E16" s="12">
        <v>82</v>
      </c>
      <c r="F16" s="8">
        <v>15.74</v>
      </c>
      <c r="G16" s="12">
        <v>12</v>
      </c>
      <c r="H16" s="8">
        <v>5</v>
      </c>
      <c r="I16" s="12">
        <v>0</v>
      </c>
    </row>
    <row r="17" spans="2:9" ht="15" customHeight="1" x14ac:dyDescent="0.15">
      <c r="B17" t="s">
        <v>63</v>
      </c>
      <c r="C17" s="12">
        <v>63</v>
      </c>
      <c r="D17" s="8">
        <v>8.25</v>
      </c>
      <c r="E17" s="12">
        <v>59</v>
      </c>
      <c r="F17" s="8">
        <v>11.32</v>
      </c>
      <c r="G17" s="12">
        <v>4</v>
      </c>
      <c r="H17" s="8">
        <v>1.67</v>
      </c>
      <c r="I17" s="12">
        <v>0</v>
      </c>
    </row>
    <row r="18" spans="2:9" ht="15" customHeight="1" x14ac:dyDescent="0.15">
      <c r="B18" t="s">
        <v>64</v>
      </c>
      <c r="C18" s="12">
        <v>25</v>
      </c>
      <c r="D18" s="8">
        <v>3.27</v>
      </c>
      <c r="E18" s="12">
        <v>20</v>
      </c>
      <c r="F18" s="8">
        <v>3.84</v>
      </c>
      <c r="G18" s="12">
        <v>5</v>
      </c>
      <c r="H18" s="8">
        <v>2.08</v>
      </c>
      <c r="I18" s="12">
        <v>0</v>
      </c>
    </row>
    <row r="19" spans="2:9" ht="15" customHeight="1" x14ac:dyDescent="0.15">
      <c r="B19" t="s">
        <v>65</v>
      </c>
      <c r="C19" s="12">
        <v>18</v>
      </c>
      <c r="D19" s="8">
        <v>2.36</v>
      </c>
      <c r="E19" s="12">
        <v>11</v>
      </c>
      <c r="F19" s="8">
        <v>2.11</v>
      </c>
      <c r="G19" s="12">
        <v>7</v>
      </c>
      <c r="H19" s="8">
        <v>2.92</v>
      </c>
      <c r="I19" s="12">
        <v>0</v>
      </c>
    </row>
    <row r="20" spans="2:9" ht="15" customHeight="1" x14ac:dyDescent="0.15">
      <c r="B20" s="9" t="s">
        <v>215</v>
      </c>
      <c r="C20" s="12">
        <f>SUM(LTBL_28464[総数／事業所数])</f>
        <v>764</v>
      </c>
      <c r="E20" s="12">
        <f>SUBTOTAL(109,LTBL_28464[個人／事業所数])</f>
        <v>521</v>
      </c>
      <c r="G20" s="12">
        <f>SUBTOTAL(109,LTBL_28464[法人／事業所数])</f>
        <v>240</v>
      </c>
      <c r="I20" s="12">
        <f>SUBTOTAL(109,LTBL_28464[法人以外の団体／事業所数])</f>
        <v>3</v>
      </c>
    </row>
    <row r="21" spans="2:9" ht="15" customHeight="1" x14ac:dyDescent="0.15">
      <c r="E21" s="11">
        <f>LTBL_28464[[#Totals],[個人／事業所数]]/LTBL_28464[[#Totals],[総数／事業所数]]</f>
        <v>0.68193717277486909</v>
      </c>
      <c r="G21" s="11">
        <f>LTBL_28464[[#Totals],[法人／事業所数]]/LTBL_28464[[#Totals],[総数／事業所数]]</f>
        <v>0.31413612565445026</v>
      </c>
      <c r="I21" s="11">
        <f>LTBL_28464[[#Totals],[法人以外の団体／事業所数]]/LTBL_28464[[#Totals],[総数／事業所数]]</f>
        <v>3.9267015706806281E-3</v>
      </c>
    </row>
    <row r="23" spans="2:9" ht="33" customHeight="1" x14ac:dyDescent="0.15">
      <c r="B23" t="s">
        <v>214</v>
      </c>
      <c r="C23" s="10" t="s">
        <v>67</v>
      </c>
      <c r="D23" s="10" t="s">
        <v>380</v>
      </c>
      <c r="E23" s="10" t="s">
        <v>69</v>
      </c>
      <c r="F23" s="10" t="s">
        <v>222</v>
      </c>
      <c r="G23" s="10" t="s">
        <v>71</v>
      </c>
      <c r="H23" s="10" t="s">
        <v>381</v>
      </c>
      <c r="I23" s="10" t="s">
        <v>73</v>
      </c>
    </row>
    <row r="24" spans="2:9" ht="15" customHeight="1" x14ac:dyDescent="0.15">
      <c r="B24" t="s">
        <v>217</v>
      </c>
      <c r="C24">
        <v>0</v>
      </c>
      <c r="D24" t="s">
        <v>216</v>
      </c>
      <c r="E24">
        <v>0</v>
      </c>
      <c r="F24" t="s">
        <v>218</v>
      </c>
      <c r="G24">
        <v>0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234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90</v>
      </c>
      <c r="C29" s="12">
        <v>82</v>
      </c>
      <c r="D29" s="8">
        <v>10.73</v>
      </c>
      <c r="E29" s="12">
        <v>74</v>
      </c>
      <c r="F29" s="8">
        <v>14.2</v>
      </c>
      <c r="G29" s="12">
        <v>8</v>
      </c>
      <c r="H29" s="8">
        <v>3.33</v>
      </c>
      <c r="I29" s="12">
        <v>0</v>
      </c>
    </row>
    <row r="30" spans="2:9" ht="15" customHeight="1" x14ac:dyDescent="0.15">
      <c r="B30" t="s">
        <v>89</v>
      </c>
      <c r="C30" s="12">
        <v>66</v>
      </c>
      <c r="D30" s="8">
        <v>8.64</v>
      </c>
      <c r="E30" s="12">
        <v>62</v>
      </c>
      <c r="F30" s="8">
        <v>11.9</v>
      </c>
      <c r="G30" s="12">
        <v>4</v>
      </c>
      <c r="H30" s="8">
        <v>1.67</v>
      </c>
      <c r="I30" s="12">
        <v>0</v>
      </c>
    </row>
    <row r="31" spans="2:9" ht="15" customHeight="1" x14ac:dyDescent="0.15">
      <c r="B31" t="s">
        <v>74</v>
      </c>
      <c r="C31" s="12">
        <v>63</v>
      </c>
      <c r="D31" s="8">
        <v>8.25</v>
      </c>
      <c r="E31" s="12">
        <v>26</v>
      </c>
      <c r="F31" s="8">
        <v>4.99</v>
      </c>
      <c r="G31" s="12">
        <v>37</v>
      </c>
      <c r="H31" s="8">
        <v>15.42</v>
      </c>
      <c r="I31" s="12">
        <v>0</v>
      </c>
    </row>
    <row r="32" spans="2:9" ht="15" customHeight="1" x14ac:dyDescent="0.15">
      <c r="B32" t="s">
        <v>92</v>
      </c>
      <c r="C32" s="12">
        <v>63</v>
      </c>
      <c r="D32" s="8">
        <v>8.25</v>
      </c>
      <c r="E32" s="12">
        <v>59</v>
      </c>
      <c r="F32" s="8">
        <v>11.32</v>
      </c>
      <c r="G32" s="12">
        <v>4</v>
      </c>
      <c r="H32" s="8">
        <v>1.67</v>
      </c>
      <c r="I32" s="12">
        <v>0</v>
      </c>
    </row>
    <row r="33" spans="2:9" ht="15" customHeight="1" x14ac:dyDescent="0.15">
      <c r="B33" t="s">
        <v>86</v>
      </c>
      <c r="C33" s="12">
        <v>53</v>
      </c>
      <c r="D33" s="8">
        <v>6.94</v>
      </c>
      <c r="E33" s="12">
        <v>40</v>
      </c>
      <c r="F33" s="8">
        <v>7.68</v>
      </c>
      <c r="G33" s="12">
        <v>13</v>
      </c>
      <c r="H33" s="8">
        <v>5.42</v>
      </c>
      <c r="I33" s="12">
        <v>0</v>
      </c>
    </row>
    <row r="34" spans="2:9" ht="15" customHeight="1" x14ac:dyDescent="0.15">
      <c r="B34" t="s">
        <v>84</v>
      </c>
      <c r="C34" s="12">
        <v>46</v>
      </c>
      <c r="D34" s="8">
        <v>6.02</v>
      </c>
      <c r="E34" s="12">
        <v>27</v>
      </c>
      <c r="F34" s="8">
        <v>5.18</v>
      </c>
      <c r="G34" s="12">
        <v>19</v>
      </c>
      <c r="H34" s="8">
        <v>7.92</v>
      </c>
      <c r="I34" s="12">
        <v>0</v>
      </c>
    </row>
    <row r="35" spans="2:9" ht="15" customHeight="1" x14ac:dyDescent="0.15">
      <c r="B35" t="s">
        <v>76</v>
      </c>
      <c r="C35" s="12">
        <v>44</v>
      </c>
      <c r="D35" s="8">
        <v>5.76</v>
      </c>
      <c r="E35" s="12">
        <v>22</v>
      </c>
      <c r="F35" s="8">
        <v>4.22</v>
      </c>
      <c r="G35" s="12">
        <v>22</v>
      </c>
      <c r="H35" s="8">
        <v>9.17</v>
      </c>
      <c r="I35" s="12">
        <v>0</v>
      </c>
    </row>
    <row r="36" spans="2:9" ht="15" customHeight="1" x14ac:dyDescent="0.15">
      <c r="B36" t="s">
        <v>75</v>
      </c>
      <c r="C36" s="12">
        <v>43</v>
      </c>
      <c r="D36" s="8">
        <v>5.63</v>
      </c>
      <c r="E36" s="12">
        <v>26</v>
      </c>
      <c r="F36" s="8">
        <v>4.99</v>
      </c>
      <c r="G36" s="12">
        <v>17</v>
      </c>
      <c r="H36" s="8">
        <v>7.08</v>
      </c>
      <c r="I36" s="12">
        <v>0</v>
      </c>
    </row>
    <row r="37" spans="2:9" ht="15" customHeight="1" x14ac:dyDescent="0.15">
      <c r="B37" t="s">
        <v>82</v>
      </c>
      <c r="C37" s="12">
        <v>37</v>
      </c>
      <c r="D37" s="8">
        <v>4.84</v>
      </c>
      <c r="E37" s="12">
        <v>23</v>
      </c>
      <c r="F37" s="8">
        <v>4.41</v>
      </c>
      <c r="G37" s="12">
        <v>12</v>
      </c>
      <c r="H37" s="8">
        <v>5</v>
      </c>
      <c r="I37" s="12">
        <v>2</v>
      </c>
    </row>
    <row r="38" spans="2:9" ht="15" customHeight="1" x14ac:dyDescent="0.15">
      <c r="B38" t="s">
        <v>83</v>
      </c>
      <c r="C38" s="12">
        <v>28</v>
      </c>
      <c r="D38" s="8">
        <v>3.66</v>
      </c>
      <c r="E38" s="12">
        <v>22</v>
      </c>
      <c r="F38" s="8">
        <v>4.22</v>
      </c>
      <c r="G38" s="12">
        <v>6</v>
      </c>
      <c r="H38" s="8">
        <v>2.5</v>
      </c>
      <c r="I38" s="12">
        <v>0</v>
      </c>
    </row>
    <row r="39" spans="2:9" ht="15" customHeight="1" x14ac:dyDescent="0.15">
      <c r="B39" t="s">
        <v>81</v>
      </c>
      <c r="C39" s="12">
        <v>25</v>
      </c>
      <c r="D39" s="8">
        <v>3.27</v>
      </c>
      <c r="E39" s="12">
        <v>19</v>
      </c>
      <c r="F39" s="8">
        <v>3.65</v>
      </c>
      <c r="G39" s="12">
        <v>6</v>
      </c>
      <c r="H39" s="8">
        <v>2.5</v>
      </c>
      <c r="I39" s="12">
        <v>0</v>
      </c>
    </row>
    <row r="40" spans="2:9" ht="15" customHeight="1" x14ac:dyDescent="0.15">
      <c r="B40" t="s">
        <v>87</v>
      </c>
      <c r="C40" s="12">
        <v>22</v>
      </c>
      <c r="D40" s="8">
        <v>2.88</v>
      </c>
      <c r="E40" s="12">
        <v>18</v>
      </c>
      <c r="F40" s="8">
        <v>3.45</v>
      </c>
      <c r="G40" s="12">
        <v>4</v>
      </c>
      <c r="H40" s="8">
        <v>1.67</v>
      </c>
      <c r="I40" s="12">
        <v>0</v>
      </c>
    </row>
    <row r="41" spans="2:9" ht="15" customHeight="1" x14ac:dyDescent="0.15">
      <c r="B41" t="s">
        <v>93</v>
      </c>
      <c r="C41" s="12">
        <v>20</v>
      </c>
      <c r="D41" s="8">
        <v>2.62</v>
      </c>
      <c r="E41" s="12">
        <v>20</v>
      </c>
      <c r="F41" s="8">
        <v>3.84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106</v>
      </c>
      <c r="C42" s="12">
        <v>11</v>
      </c>
      <c r="D42" s="8">
        <v>1.44</v>
      </c>
      <c r="E42" s="12">
        <v>8</v>
      </c>
      <c r="F42" s="8">
        <v>1.54</v>
      </c>
      <c r="G42" s="12">
        <v>3</v>
      </c>
      <c r="H42" s="8">
        <v>1.25</v>
      </c>
      <c r="I42" s="12">
        <v>0</v>
      </c>
    </row>
    <row r="43" spans="2:9" ht="15" customHeight="1" x14ac:dyDescent="0.15">
      <c r="B43" t="s">
        <v>79</v>
      </c>
      <c r="C43" s="12">
        <v>10</v>
      </c>
      <c r="D43" s="8">
        <v>1.31</v>
      </c>
      <c r="E43" s="12">
        <v>3</v>
      </c>
      <c r="F43" s="8">
        <v>0.57999999999999996</v>
      </c>
      <c r="G43" s="12">
        <v>7</v>
      </c>
      <c r="H43" s="8">
        <v>2.92</v>
      </c>
      <c r="I43" s="12">
        <v>0</v>
      </c>
    </row>
    <row r="44" spans="2:9" ht="15" customHeight="1" x14ac:dyDescent="0.15">
      <c r="B44" t="s">
        <v>105</v>
      </c>
      <c r="C44" s="12">
        <v>10</v>
      </c>
      <c r="D44" s="8">
        <v>1.31</v>
      </c>
      <c r="E44" s="12">
        <v>8</v>
      </c>
      <c r="F44" s="8">
        <v>1.54</v>
      </c>
      <c r="G44" s="12">
        <v>2</v>
      </c>
      <c r="H44" s="8">
        <v>0.83</v>
      </c>
      <c r="I44" s="12">
        <v>0</v>
      </c>
    </row>
    <row r="45" spans="2:9" ht="15" customHeight="1" x14ac:dyDescent="0.15">
      <c r="B45" t="s">
        <v>100</v>
      </c>
      <c r="C45" s="12">
        <v>9</v>
      </c>
      <c r="D45" s="8">
        <v>1.18</v>
      </c>
      <c r="E45" s="12">
        <v>6</v>
      </c>
      <c r="F45" s="8">
        <v>1.1499999999999999</v>
      </c>
      <c r="G45" s="12">
        <v>3</v>
      </c>
      <c r="H45" s="8">
        <v>1.25</v>
      </c>
      <c r="I45" s="12">
        <v>0</v>
      </c>
    </row>
    <row r="46" spans="2:9" ht="15" customHeight="1" x14ac:dyDescent="0.15">
      <c r="B46" t="s">
        <v>85</v>
      </c>
      <c r="C46" s="12">
        <v>9</v>
      </c>
      <c r="D46" s="8">
        <v>1.18</v>
      </c>
      <c r="E46" s="12">
        <v>1</v>
      </c>
      <c r="F46" s="8">
        <v>0.19</v>
      </c>
      <c r="G46" s="12">
        <v>8</v>
      </c>
      <c r="H46" s="8">
        <v>3.33</v>
      </c>
      <c r="I46" s="12">
        <v>0</v>
      </c>
    </row>
    <row r="47" spans="2:9" ht="15" customHeight="1" x14ac:dyDescent="0.15">
      <c r="B47" t="s">
        <v>88</v>
      </c>
      <c r="C47" s="12">
        <v>9</v>
      </c>
      <c r="D47" s="8">
        <v>1.18</v>
      </c>
      <c r="E47" s="12">
        <v>7</v>
      </c>
      <c r="F47" s="8">
        <v>1.34</v>
      </c>
      <c r="G47" s="12">
        <v>2</v>
      </c>
      <c r="H47" s="8">
        <v>0.83</v>
      </c>
      <c r="I47" s="12">
        <v>0</v>
      </c>
    </row>
    <row r="48" spans="2:9" ht="15" customHeight="1" x14ac:dyDescent="0.15">
      <c r="B48" t="s">
        <v>107</v>
      </c>
      <c r="C48" s="12">
        <v>8</v>
      </c>
      <c r="D48" s="8">
        <v>1.05</v>
      </c>
      <c r="E48" s="12">
        <v>4</v>
      </c>
      <c r="F48" s="8">
        <v>0.77</v>
      </c>
      <c r="G48" s="12">
        <v>3</v>
      </c>
      <c r="H48" s="8">
        <v>1.25</v>
      </c>
      <c r="I48" s="12">
        <v>1</v>
      </c>
    </row>
    <row r="49" spans="2:9" ht="15" customHeight="1" x14ac:dyDescent="0.15">
      <c r="B49" t="s">
        <v>77</v>
      </c>
      <c r="C49" s="12">
        <v>8</v>
      </c>
      <c r="D49" s="8">
        <v>1.05</v>
      </c>
      <c r="E49" s="12">
        <v>5</v>
      </c>
      <c r="F49" s="8">
        <v>0.96</v>
      </c>
      <c r="G49" s="12">
        <v>3</v>
      </c>
      <c r="H49" s="8">
        <v>1.25</v>
      </c>
      <c r="I49" s="12">
        <v>0</v>
      </c>
    </row>
    <row r="50" spans="2:9" ht="15" customHeight="1" x14ac:dyDescent="0.15">
      <c r="B50" t="s">
        <v>103</v>
      </c>
      <c r="C50" s="12">
        <v>8</v>
      </c>
      <c r="D50" s="8">
        <v>1.05</v>
      </c>
      <c r="E50" s="12">
        <v>5</v>
      </c>
      <c r="F50" s="8">
        <v>0.96</v>
      </c>
      <c r="G50" s="12">
        <v>3</v>
      </c>
      <c r="H50" s="8">
        <v>1.25</v>
      </c>
      <c r="I50" s="12">
        <v>0</v>
      </c>
    </row>
    <row r="53" spans="2:9" ht="33" customHeight="1" x14ac:dyDescent="0.15">
      <c r="B53" t="s">
        <v>294</v>
      </c>
      <c r="C53" s="10" t="s">
        <v>67</v>
      </c>
      <c r="D53" s="10" t="s">
        <v>68</v>
      </c>
      <c r="E53" s="10" t="s">
        <v>69</v>
      </c>
      <c r="F53" s="10" t="s">
        <v>70</v>
      </c>
      <c r="G53" s="10" t="s">
        <v>71</v>
      </c>
      <c r="H53" s="10" t="s">
        <v>72</v>
      </c>
      <c r="I53" s="10" t="s">
        <v>73</v>
      </c>
    </row>
    <row r="54" spans="2:9" ht="15" customHeight="1" x14ac:dyDescent="0.15">
      <c r="B54" t="s">
        <v>141</v>
      </c>
      <c r="C54" s="12">
        <v>53</v>
      </c>
      <c r="D54" s="8">
        <v>6.94</v>
      </c>
      <c r="E54" s="12">
        <v>50</v>
      </c>
      <c r="F54" s="8">
        <v>9.6</v>
      </c>
      <c r="G54" s="12">
        <v>3</v>
      </c>
      <c r="H54" s="8">
        <v>1.25</v>
      </c>
      <c r="I54" s="12">
        <v>0</v>
      </c>
    </row>
    <row r="55" spans="2:9" ht="15" customHeight="1" x14ac:dyDescent="0.15">
      <c r="B55" t="s">
        <v>143</v>
      </c>
      <c r="C55" s="12">
        <v>46</v>
      </c>
      <c r="D55" s="8">
        <v>6.02</v>
      </c>
      <c r="E55" s="12">
        <v>45</v>
      </c>
      <c r="F55" s="8">
        <v>8.64</v>
      </c>
      <c r="G55" s="12">
        <v>1</v>
      </c>
      <c r="H55" s="8">
        <v>0.42</v>
      </c>
      <c r="I55" s="12">
        <v>0</v>
      </c>
    </row>
    <row r="56" spans="2:9" ht="15" customHeight="1" x14ac:dyDescent="0.15">
      <c r="B56" t="s">
        <v>134</v>
      </c>
      <c r="C56" s="12">
        <v>33</v>
      </c>
      <c r="D56" s="8">
        <v>4.32</v>
      </c>
      <c r="E56" s="12">
        <v>28</v>
      </c>
      <c r="F56" s="8">
        <v>5.37</v>
      </c>
      <c r="G56" s="12">
        <v>5</v>
      </c>
      <c r="H56" s="8">
        <v>2.08</v>
      </c>
      <c r="I56" s="12">
        <v>0</v>
      </c>
    </row>
    <row r="57" spans="2:9" ht="15" customHeight="1" x14ac:dyDescent="0.15">
      <c r="B57" t="s">
        <v>125</v>
      </c>
      <c r="C57" s="12">
        <v>25</v>
      </c>
      <c r="D57" s="8">
        <v>3.27</v>
      </c>
      <c r="E57" s="12">
        <v>12</v>
      </c>
      <c r="F57" s="8">
        <v>2.2999999999999998</v>
      </c>
      <c r="G57" s="12">
        <v>13</v>
      </c>
      <c r="H57" s="8">
        <v>5.42</v>
      </c>
      <c r="I57" s="12">
        <v>0</v>
      </c>
    </row>
    <row r="58" spans="2:9" ht="15" customHeight="1" x14ac:dyDescent="0.15">
      <c r="B58" t="s">
        <v>138</v>
      </c>
      <c r="C58" s="12">
        <v>25</v>
      </c>
      <c r="D58" s="8">
        <v>3.27</v>
      </c>
      <c r="E58" s="12">
        <v>25</v>
      </c>
      <c r="F58" s="8">
        <v>4.8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160</v>
      </c>
      <c r="C59" s="12">
        <v>23</v>
      </c>
      <c r="D59" s="8">
        <v>3.01</v>
      </c>
      <c r="E59" s="12">
        <v>13</v>
      </c>
      <c r="F59" s="8">
        <v>2.5</v>
      </c>
      <c r="G59" s="12">
        <v>10</v>
      </c>
      <c r="H59" s="8">
        <v>4.17</v>
      </c>
      <c r="I59" s="12">
        <v>0</v>
      </c>
    </row>
    <row r="60" spans="2:9" ht="15" customHeight="1" x14ac:dyDescent="0.15">
      <c r="B60" t="s">
        <v>130</v>
      </c>
      <c r="C60" s="12">
        <v>20</v>
      </c>
      <c r="D60" s="8">
        <v>2.62</v>
      </c>
      <c r="E60" s="12">
        <v>16</v>
      </c>
      <c r="F60" s="8">
        <v>3.07</v>
      </c>
      <c r="G60" s="12">
        <v>4</v>
      </c>
      <c r="H60" s="8">
        <v>1.67</v>
      </c>
      <c r="I60" s="12">
        <v>0</v>
      </c>
    </row>
    <row r="61" spans="2:9" ht="15" customHeight="1" x14ac:dyDescent="0.15">
      <c r="B61" t="s">
        <v>140</v>
      </c>
      <c r="C61" s="12">
        <v>19</v>
      </c>
      <c r="D61" s="8">
        <v>2.4900000000000002</v>
      </c>
      <c r="E61" s="12">
        <v>18</v>
      </c>
      <c r="F61" s="8">
        <v>3.45</v>
      </c>
      <c r="G61" s="12">
        <v>1</v>
      </c>
      <c r="H61" s="8">
        <v>0.42</v>
      </c>
      <c r="I61" s="12">
        <v>0</v>
      </c>
    </row>
    <row r="62" spans="2:9" ht="15" customHeight="1" x14ac:dyDescent="0.15">
      <c r="B62" t="s">
        <v>132</v>
      </c>
      <c r="C62" s="12">
        <v>18</v>
      </c>
      <c r="D62" s="8">
        <v>2.36</v>
      </c>
      <c r="E62" s="12">
        <v>14</v>
      </c>
      <c r="F62" s="8">
        <v>2.69</v>
      </c>
      <c r="G62" s="12">
        <v>4</v>
      </c>
      <c r="H62" s="8">
        <v>1.67</v>
      </c>
      <c r="I62" s="12">
        <v>0</v>
      </c>
    </row>
    <row r="63" spans="2:9" ht="15" customHeight="1" x14ac:dyDescent="0.15">
      <c r="B63" t="s">
        <v>142</v>
      </c>
      <c r="C63" s="12">
        <v>17</v>
      </c>
      <c r="D63" s="8">
        <v>2.23</v>
      </c>
      <c r="E63" s="12">
        <v>14</v>
      </c>
      <c r="F63" s="8">
        <v>2.69</v>
      </c>
      <c r="G63" s="12">
        <v>3</v>
      </c>
      <c r="H63" s="8">
        <v>1.25</v>
      </c>
      <c r="I63" s="12">
        <v>0</v>
      </c>
    </row>
    <row r="64" spans="2:9" ht="15" customHeight="1" x14ac:dyDescent="0.15">
      <c r="B64" t="s">
        <v>127</v>
      </c>
      <c r="C64" s="12">
        <v>16</v>
      </c>
      <c r="D64" s="8">
        <v>2.09</v>
      </c>
      <c r="E64" s="12">
        <v>7</v>
      </c>
      <c r="F64" s="8">
        <v>1.34</v>
      </c>
      <c r="G64" s="12">
        <v>9</v>
      </c>
      <c r="H64" s="8">
        <v>3.75</v>
      </c>
      <c r="I64" s="12">
        <v>0</v>
      </c>
    </row>
    <row r="65" spans="2:9" ht="15" customHeight="1" x14ac:dyDescent="0.15">
      <c r="B65" t="s">
        <v>144</v>
      </c>
      <c r="C65" s="12">
        <v>16</v>
      </c>
      <c r="D65" s="8">
        <v>2.09</v>
      </c>
      <c r="E65" s="12">
        <v>16</v>
      </c>
      <c r="F65" s="8">
        <v>3.07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167</v>
      </c>
      <c r="C66" s="12">
        <v>15</v>
      </c>
      <c r="D66" s="8">
        <v>1.96</v>
      </c>
      <c r="E66" s="12">
        <v>7</v>
      </c>
      <c r="F66" s="8">
        <v>1.34</v>
      </c>
      <c r="G66" s="12">
        <v>8</v>
      </c>
      <c r="H66" s="8">
        <v>3.33</v>
      </c>
      <c r="I66" s="12">
        <v>0</v>
      </c>
    </row>
    <row r="67" spans="2:9" ht="15" customHeight="1" x14ac:dyDescent="0.15">
      <c r="B67" t="s">
        <v>126</v>
      </c>
      <c r="C67" s="12">
        <v>14</v>
      </c>
      <c r="D67" s="8">
        <v>1.83</v>
      </c>
      <c r="E67" s="12">
        <v>4</v>
      </c>
      <c r="F67" s="8">
        <v>0.77</v>
      </c>
      <c r="G67" s="12">
        <v>10</v>
      </c>
      <c r="H67" s="8">
        <v>4.17</v>
      </c>
      <c r="I67" s="12">
        <v>0</v>
      </c>
    </row>
    <row r="68" spans="2:9" ht="15" customHeight="1" x14ac:dyDescent="0.15">
      <c r="B68" t="s">
        <v>155</v>
      </c>
      <c r="C68" s="12">
        <v>12</v>
      </c>
      <c r="D68" s="8">
        <v>1.57</v>
      </c>
      <c r="E68" s="12">
        <v>11</v>
      </c>
      <c r="F68" s="8">
        <v>2.11</v>
      </c>
      <c r="G68" s="12">
        <v>1</v>
      </c>
      <c r="H68" s="8">
        <v>0.42</v>
      </c>
      <c r="I68" s="12">
        <v>0</v>
      </c>
    </row>
    <row r="69" spans="2:9" ht="15" customHeight="1" x14ac:dyDescent="0.15">
      <c r="B69" t="s">
        <v>137</v>
      </c>
      <c r="C69" s="12">
        <v>12</v>
      </c>
      <c r="D69" s="8">
        <v>1.57</v>
      </c>
      <c r="E69" s="12">
        <v>12</v>
      </c>
      <c r="F69" s="8">
        <v>2.2999999999999998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147</v>
      </c>
      <c r="C70" s="12">
        <v>11</v>
      </c>
      <c r="D70" s="8">
        <v>1.44</v>
      </c>
      <c r="E70" s="12">
        <v>5</v>
      </c>
      <c r="F70" s="8">
        <v>0.96</v>
      </c>
      <c r="G70" s="12">
        <v>6</v>
      </c>
      <c r="H70" s="8">
        <v>2.5</v>
      </c>
      <c r="I70" s="12">
        <v>0</v>
      </c>
    </row>
    <row r="71" spans="2:9" ht="15" customHeight="1" x14ac:dyDescent="0.15">
      <c r="B71" t="s">
        <v>136</v>
      </c>
      <c r="C71" s="12">
        <v>11</v>
      </c>
      <c r="D71" s="8">
        <v>1.44</v>
      </c>
      <c r="E71" s="12">
        <v>10</v>
      </c>
      <c r="F71" s="8">
        <v>1.92</v>
      </c>
      <c r="G71" s="12">
        <v>1</v>
      </c>
      <c r="H71" s="8">
        <v>0.42</v>
      </c>
      <c r="I71" s="12">
        <v>0</v>
      </c>
    </row>
    <row r="72" spans="2:9" ht="15" customHeight="1" x14ac:dyDescent="0.15">
      <c r="B72" t="s">
        <v>166</v>
      </c>
      <c r="C72" s="12">
        <v>11</v>
      </c>
      <c r="D72" s="8">
        <v>1.44</v>
      </c>
      <c r="E72" s="12">
        <v>8</v>
      </c>
      <c r="F72" s="8">
        <v>1.54</v>
      </c>
      <c r="G72" s="12">
        <v>3</v>
      </c>
      <c r="H72" s="8">
        <v>1.25</v>
      </c>
      <c r="I72" s="12">
        <v>0</v>
      </c>
    </row>
    <row r="73" spans="2:9" ht="15" customHeight="1" x14ac:dyDescent="0.15">
      <c r="B73" t="s">
        <v>135</v>
      </c>
      <c r="C73" s="12">
        <v>10</v>
      </c>
      <c r="D73" s="8">
        <v>1.31</v>
      </c>
      <c r="E73" s="12">
        <v>9</v>
      </c>
      <c r="F73" s="8">
        <v>1.73</v>
      </c>
      <c r="G73" s="12">
        <v>1</v>
      </c>
      <c r="H73" s="8">
        <v>0.42</v>
      </c>
      <c r="I73" s="12">
        <v>0</v>
      </c>
    </row>
    <row r="75" spans="2:9" ht="15" customHeight="1" x14ac:dyDescent="0.15">
      <c r="B75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382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90</v>
      </c>
      <c r="D6" s="8">
        <v>21.43</v>
      </c>
      <c r="E6" s="12">
        <v>41</v>
      </c>
      <c r="F6" s="8">
        <v>14.39</v>
      </c>
      <c r="G6" s="12">
        <v>49</v>
      </c>
      <c r="H6" s="8">
        <v>36.57</v>
      </c>
      <c r="I6" s="12">
        <v>0</v>
      </c>
    </row>
    <row r="7" spans="2:9" ht="15" customHeight="1" x14ac:dyDescent="0.15">
      <c r="B7" t="s">
        <v>53</v>
      </c>
      <c r="C7" s="12">
        <v>27</v>
      </c>
      <c r="D7" s="8">
        <v>6.43</v>
      </c>
      <c r="E7" s="12">
        <v>15</v>
      </c>
      <c r="F7" s="8">
        <v>5.26</v>
      </c>
      <c r="G7" s="12">
        <v>12</v>
      </c>
      <c r="H7" s="8">
        <v>8.9600000000000009</v>
      </c>
      <c r="I7" s="12">
        <v>0</v>
      </c>
    </row>
    <row r="8" spans="2:9" ht="15" customHeight="1" x14ac:dyDescent="0.15">
      <c r="B8" t="s">
        <v>54</v>
      </c>
      <c r="C8" s="12">
        <v>1</v>
      </c>
      <c r="D8" s="8">
        <v>0.24</v>
      </c>
      <c r="E8" s="12">
        <v>0</v>
      </c>
      <c r="F8" s="8">
        <v>0</v>
      </c>
      <c r="G8" s="12">
        <v>1</v>
      </c>
      <c r="H8" s="8">
        <v>0.75</v>
      </c>
      <c r="I8" s="12">
        <v>0</v>
      </c>
    </row>
    <row r="9" spans="2:9" ht="15" customHeight="1" x14ac:dyDescent="0.15">
      <c r="B9" t="s">
        <v>55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56</v>
      </c>
      <c r="C10" s="12">
        <v>5</v>
      </c>
      <c r="D10" s="8">
        <v>1.19</v>
      </c>
      <c r="E10" s="12">
        <v>2</v>
      </c>
      <c r="F10" s="8">
        <v>0.7</v>
      </c>
      <c r="G10" s="12">
        <v>3</v>
      </c>
      <c r="H10" s="8">
        <v>2.2400000000000002</v>
      </c>
      <c r="I10" s="12">
        <v>0</v>
      </c>
    </row>
    <row r="11" spans="2:9" ht="15" customHeight="1" x14ac:dyDescent="0.15">
      <c r="B11" t="s">
        <v>57</v>
      </c>
      <c r="C11" s="12">
        <v>103</v>
      </c>
      <c r="D11" s="8">
        <v>24.52</v>
      </c>
      <c r="E11" s="12">
        <v>68</v>
      </c>
      <c r="F11" s="8">
        <v>23.86</v>
      </c>
      <c r="G11" s="12">
        <v>34</v>
      </c>
      <c r="H11" s="8">
        <v>25.37</v>
      </c>
      <c r="I11" s="12">
        <v>1</v>
      </c>
    </row>
    <row r="12" spans="2:9" ht="15" customHeight="1" x14ac:dyDescent="0.15">
      <c r="B12" t="s">
        <v>58</v>
      </c>
      <c r="C12" s="12">
        <v>2</v>
      </c>
      <c r="D12" s="8">
        <v>0.48</v>
      </c>
      <c r="E12" s="12">
        <v>0</v>
      </c>
      <c r="F12" s="8">
        <v>0</v>
      </c>
      <c r="G12" s="12">
        <v>2</v>
      </c>
      <c r="H12" s="8">
        <v>1.49</v>
      </c>
      <c r="I12" s="12">
        <v>0</v>
      </c>
    </row>
    <row r="13" spans="2:9" ht="15" customHeight="1" x14ac:dyDescent="0.15">
      <c r="B13" t="s">
        <v>59</v>
      </c>
      <c r="C13" s="12">
        <v>34</v>
      </c>
      <c r="D13" s="8">
        <v>8.1</v>
      </c>
      <c r="E13" s="12">
        <v>31</v>
      </c>
      <c r="F13" s="8">
        <v>10.88</v>
      </c>
      <c r="G13" s="12">
        <v>3</v>
      </c>
      <c r="H13" s="8">
        <v>2.2400000000000002</v>
      </c>
      <c r="I13" s="12">
        <v>0</v>
      </c>
    </row>
    <row r="14" spans="2:9" ht="15" customHeight="1" x14ac:dyDescent="0.15">
      <c r="B14" t="s">
        <v>60</v>
      </c>
      <c r="C14" s="12">
        <v>18</v>
      </c>
      <c r="D14" s="8">
        <v>4.29</v>
      </c>
      <c r="E14" s="12">
        <v>9</v>
      </c>
      <c r="F14" s="8">
        <v>3.16</v>
      </c>
      <c r="G14" s="12">
        <v>9</v>
      </c>
      <c r="H14" s="8">
        <v>6.72</v>
      </c>
      <c r="I14" s="12">
        <v>0</v>
      </c>
    </row>
    <row r="15" spans="2:9" ht="15" customHeight="1" x14ac:dyDescent="0.15">
      <c r="B15" t="s">
        <v>61</v>
      </c>
      <c r="C15" s="12">
        <v>38</v>
      </c>
      <c r="D15" s="8">
        <v>9.0500000000000007</v>
      </c>
      <c r="E15" s="12">
        <v>36</v>
      </c>
      <c r="F15" s="8">
        <v>12.63</v>
      </c>
      <c r="G15" s="12">
        <v>2</v>
      </c>
      <c r="H15" s="8">
        <v>1.49</v>
      </c>
      <c r="I15" s="12">
        <v>0</v>
      </c>
    </row>
    <row r="16" spans="2:9" ht="15" customHeight="1" x14ac:dyDescent="0.15">
      <c r="B16" t="s">
        <v>62</v>
      </c>
      <c r="C16" s="12">
        <v>53</v>
      </c>
      <c r="D16" s="8">
        <v>12.62</v>
      </c>
      <c r="E16" s="12">
        <v>43</v>
      </c>
      <c r="F16" s="8">
        <v>15.09</v>
      </c>
      <c r="G16" s="12">
        <v>10</v>
      </c>
      <c r="H16" s="8">
        <v>7.46</v>
      </c>
      <c r="I16" s="12">
        <v>0</v>
      </c>
    </row>
    <row r="17" spans="2:9" ht="15" customHeight="1" x14ac:dyDescent="0.15">
      <c r="B17" t="s">
        <v>63</v>
      </c>
      <c r="C17" s="12">
        <v>22</v>
      </c>
      <c r="D17" s="8">
        <v>5.24</v>
      </c>
      <c r="E17" s="12">
        <v>21</v>
      </c>
      <c r="F17" s="8">
        <v>7.37</v>
      </c>
      <c r="G17" s="12">
        <v>1</v>
      </c>
      <c r="H17" s="8">
        <v>0.75</v>
      </c>
      <c r="I17" s="12">
        <v>0</v>
      </c>
    </row>
    <row r="18" spans="2:9" ht="15" customHeight="1" x14ac:dyDescent="0.15">
      <c r="B18" t="s">
        <v>64</v>
      </c>
      <c r="C18" s="12">
        <v>19</v>
      </c>
      <c r="D18" s="8">
        <v>4.5199999999999996</v>
      </c>
      <c r="E18" s="12">
        <v>15</v>
      </c>
      <c r="F18" s="8">
        <v>5.26</v>
      </c>
      <c r="G18" s="12">
        <v>4</v>
      </c>
      <c r="H18" s="8">
        <v>2.99</v>
      </c>
      <c r="I18" s="12">
        <v>0</v>
      </c>
    </row>
    <row r="19" spans="2:9" ht="15" customHeight="1" x14ac:dyDescent="0.15">
      <c r="B19" t="s">
        <v>65</v>
      </c>
      <c r="C19" s="12">
        <v>8</v>
      </c>
      <c r="D19" s="8">
        <v>1.9</v>
      </c>
      <c r="E19" s="12">
        <v>4</v>
      </c>
      <c r="F19" s="8">
        <v>1.4</v>
      </c>
      <c r="G19" s="12">
        <v>4</v>
      </c>
      <c r="H19" s="8">
        <v>2.99</v>
      </c>
      <c r="I19" s="12">
        <v>0</v>
      </c>
    </row>
    <row r="20" spans="2:9" ht="15" customHeight="1" x14ac:dyDescent="0.15">
      <c r="B20" s="9" t="s">
        <v>215</v>
      </c>
      <c r="C20" s="12">
        <f>SUM(LTBL_28481[総数／事業所数])</f>
        <v>420</v>
      </c>
      <c r="E20" s="12">
        <f>SUBTOTAL(109,LTBL_28481[個人／事業所数])</f>
        <v>285</v>
      </c>
      <c r="G20" s="12">
        <f>SUBTOTAL(109,LTBL_28481[法人／事業所数])</f>
        <v>134</v>
      </c>
      <c r="I20" s="12">
        <f>SUBTOTAL(109,LTBL_28481[法人以外の団体／事業所数])</f>
        <v>1</v>
      </c>
    </row>
    <row r="21" spans="2:9" ht="15" customHeight="1" x14ac:dyDescent="0.15">
      <c r="E21" s="11">
        <f>LTBL_28481[[#Totals],[個人／事業所数]]/LTBL_28481[[#Totals],[総数／事業所数]]</f>
        <v>0.6785714285714286</v>
      </c>
      <c r="G21" s="11">
        <f>LTBL_28481[[#Totals],[法人／事業所数]]/LTBL_28481[[#Totals],[総数／事業所数]]</f>
        <v>0.31904761904761902</v>
      </c>
      <c r="I21" s="11">
        <f>LTBL_28481[[#Totals],[法人以外の団体／事業所数]]/LTBL_28481[[#Totals],[総数／事業所数]]</f>
        <v>2.3809523809523812E-3</v>
      </c>
    </row>
    <row r="23" spans="2:9" ht="33" customHeight="1" x14ac:dyDescent="0.15">
      <c r="B23" t="s">
        <v>214</v>
      </c>
      <c r="C23" s="10" t="s">
        <v>67</v>
      </c>
      <c r="D23" s="10" t="s">
        <v>221</v>
      </c>
      <c r="E23" s="10" t="s">
        <v>69</v>
      </c>
      <c r="F23" s="10" t="s">
        <v>383</v>
      </c>
      <c r="G23" s="10" t="s">
        <v>71</v>
      </c>
      <c r="H23" s="10" t="s">
        <v>384</v>
      </c>
      <c r="I23" s="10" t="s">
        <v>73</v>
      </c>
    </row>
    <row r="24" spans="2:9" ht="15" customHeight="1" x14ac:dyDescent="0.15">
      <c r="B24" t="s">
        <v>217</v>
      </c>
      <c r="C24">
        <v>4</v>
      </c>
      <c r="D24" t="s">
        <v>216</v>
      </c>
      <c r="E24">
        <v>0</v>
      </c>
      <c r="F24" t="s">
        <v>218</v>
      </c>
      <c r="G24">
        <v>4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293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74</v>
      </c>
      <c r="C29" s="12">
        <v>47</v>
      </c>
      <c r="D29" s="8">
        <v>11.19</v>
      </c>
      <c r="E29" s="12">
        <v>16</v>
      </c>
      <c r="F29" s="8">
        <v>5.61</v>
      </c>
      <c r="G29" s="12">
        <v>31</v>
      </c>
      <c r="H29" s="8">
        <v>23.13</v>
      </c>
      <c r="I29" s="12">
        <v>0</v>
      </c>
    </row>
    <row r="30" spans="2:9" ht="15" customHeight="1" x14ac:dyDescent="0.15">
      <c r="B30" t="s">
        <v>90</v>
      </c>
      <c r="C30" s="12">
        <v>40</v>
      </c>
      <c r="D30" s="8">
        <v>9.52</v>
      </c>
      <c r="E30" s="12">
        <v>32</v>
      </c>
      <c r="F30" s="8">
        <v>11.23</v>
      </c>
      <c r="G30" s="12">
        <v>8</v>
      </c>
      <c r="H30" s="8">
        <v>5.97</v>
      </c>
      <c r="I30" s="12">
        <v>0</v>
      </c>
    </row>
    <row r="31" spans="2:9" ht="15" customHeight="1" x14ac:dyDescent="0.15">
      <c r="B31" t="s">
        <v>84</v>
      </c>
      <c r="C31" s="12">
        <v>36</v>
      </c>
      <c r="D31" s="8">
        <v>8.57</v>
      </c>
      <c r="E31" s="12">
        <v>25</v>
      </c>
      <c r="F31" s="8">
        <v>8.77</v>
      </c>
      <c r="G31" s="12">
        <v>10</v>
      </c>
      <c r="H31" s="8">
        <v>7.46</v>
      </c>
      <c r="I31" s="12">
        <v>1</v>
      </c>
    </row>
    <row r="32" spans="2:9" ht="15" customHeight="1" x14ac:dyDescent="0.15">
      <c r="B32" t="s">
        <v>89</v>
      </c>
      <c r="C32" s="12">
        <v>32</v>
      </c>
      <c r="D32" s="8">
        <v>7.62</v>
      </c>
      <c r="E32" s="12">
        <v>32</v>
      </c>
      <c r="F32" s="8">
        <v>11.23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86</v>
      </c>
      <c r="C33" s="12">
        <v>29</v>
      </c>
      <c r="D33" s="8">
        <v>6.9</v>
      </c>
      <c r="E33" s="12">
        <v>28</v>
      </c>
      <c r="F33" s="8">
        <v>9.82</v>
      </c>
      <c r="G33" s="12">
        <v>1</v>
      </c>
      <c r="H33" s="8">
        <v>0.75</v>
      </c>
      <c r="I33" s="12">
        <v>0</v>
      </c>
    </row>
    <row r="34" spans="2:9" ht="15" customHeight="1" x14ac:dyDescent="0.15">
      <c r="B34" t="s">
        <v>82</v>
      </c>
      <c r="C34" s="12">
        <v>24</v>
      </c>
      <c r="D34" s="8">
        <v>5.71</v>
      </c>
      <c r="E34" s="12">
        <v>20</v>
      </c>
      <c r="F34" s="8">
        <v>7.02</v>
      </c>
      <c r="G34" s="12">
        <v>4</v>
      </c>
      <c r="H34" s="8">
        <v>2.99</v>
      </c>
      <c r="I34" s="12">
        <v>0</v>
      </c>
    </row>
    <row r="35" spans="2:9" ht="15" customHeight="1" x14ac:dyDescent="0.15">
      <c r="B35" t="s">
        <v>76</v>
      </c>
      <c r="C35" s="12">
        <v>22</v>
      </c>
      <c r="D35" s="8">
        <v>5.24</v>
      </c>
      <c r="E35" s="12">
        <v>14</v>
      </c>
      <c r="F35" s="8">
        <v>4.91</v>
      </c>
      <c r="G35" s="12">
        <v>8</v>
      </c>
      <c r="H35" s="8">
        <v>5.97</v>
      </c>
      <c r="I35" s="12">
        <v>0</v>
      </c>
    </row>
    <row r="36" spans="2:9" ht="15" customHeight="1" x14ac:dyDescent="0.15">
      <c r="B36" t="s">
        <v>92</v>
      </c>
      <c r="C36" s="12">
        <v>22</v>
      </c>
      <c r="D36" s="8">
        <v>5.24</v>
      </c>
      <c r="E36" s="12">
        <v>21</v>
      </c>
      <c r="F36" s="8">
        <v>7.37</v>
      </c>
      <c r="G36" s="12">
        <v>1</v>
      </c>
      <c r="H36" s="8">
        <v>0.75</v>
      </c>
      <c r="I36" s="12">
        <v>0</v>
      </c>
    </row>
    <row r="37" spans="2:9" ht="15" customHeight="1" x14ac:dyDescent="0.15">
      <c r="B37" t="s">
        <v>75</v>
      </c>
      <c r="C37" s="12">
        <v>21</v>
      </c>
      <c r="D37" s="8">
        <v>5</v>
      </c>
      <c r="E37" s="12">
        <v>11</v>
      </c>
      <c r="F37" s="8">
        <v>3.86</v>
      </c>
      <c r="G37" s="12">
        <v>10</v>
      </c>
      <c r="H37" s="8">
        <v>7.46</v>
      </c>
      <c r="I37" s="12">
        <v>0</v>
      </c>
    </row>
    <row r="38" spans="2:9" ht="15" customHeight="1" x14ac:dyDescent="0.15">
      <c r="B38" t="s">
        <v>93</v>
      </c>
      <c r="C38" s="12">
        <v>15</v>
      </c>
      <c r="D38" s="8">
        <v>3.57</v>
      </c>
      <c r="E38" s="12">
        <v>15</v>
      </c>
      <c r="F38" s="8">
        <v>5.26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83</v>
      </c>
      <c r="C39" s="12">
        <v>13</v>
      </c>
      <c r="D39" s="8">
        <v>3.1</v>
      </c>
      <c r="E39" s="12">
        <v>7</v>
      </c>
      <c r="F39" s="8">
        <v>2.46</v>
      </c>
      <c r="G39" s="12">
        <v>6</v>
      </c>
      <c r="H39" s="8">
        <v>4.4800000000000004</v>
      </c>
      <c r="I39" s="12">
        <v>0</v>
      </c>
    </row>
    <row r="40" spans="2:9" ht="15" customHeight="1" x14ac:dyDescent="0.15">
      <c r="B40" t="s">
        <v>88</v>
      </c>
      <c r="C40" s="12">
        <v>13</v>
      </c>
      <c r="D40" s="8">
        <v>3.1</v>
      </c>
      <c r="E40" s="12">
        <v>5</v>
      </c>
      <c r="F40" s="8">
        <v>1.75</v>
      </c>
      <c r="G40" s="12">
        <v>8</v>
      </c>
      <c r="H40" s="8">
        <v>5.97</v>
      </c>
      <c r="I40" s="12">
        <v>0</v>
      </c>
    </row>
    <row r="41" spans="2:9" ht="15" customHeight="1" x14ac:dyDescent="0.15">
      <c r="B41" t="s">
        <v>81</v>
      </c>
      <c r="C41" s="12">
        <v>12</v>
      </c>
      <c r="D41" s="8">
        <v>2.86</v>
      </c>
      <c r="E41" s="12">
        <v>9</v>
      </c>
      <c r="F41" s="8">
        <v>3.16</v>
      </c>
      <c r="G41" s="12">
        <v>3</v>
      </c>
      <c r="H41" s="8">
        <v>2.2400000000000002</v>
      </c>
      <c r="I41" s="12">
        <v>0</v>
      </c>
    </row>
    <row r="42" spans="2:9" ht="15" customHeight="1" x14ac:dyDescent="0.15">
      <c r="B42" t="s">
        <v>91</v>
      </c>
      <c r="C42" s="12">
        <v>11</v>
      </c>
      <c r="D42" s="8">
        <v>2.62</v>
      </c>
      <c r="E42" s="12">
        <v>10</v>
      </c>
      <c r="F42" s="8">
        <v>3.51</v>
      </c>
      <c r="G42" s="12">
        <v>1</v>
      </c>
      <c r="H42" s="8">
        <v>0.75</v>
      </c>
      <c r="I42" s="12">
        <v>0</v>
      </c>
    </row>
    <row r="43" spans="2:9" ht="15" customHeight="1" x14ac:dyDescent="0.15">
      <c r="B43" t="s">
        <v>78</v>
      </c>
      <c r="C43" s="12">
        <v>6</v>
      </c>
      <c r="D43" s="8">
        <v>1.43</v>
      </c>
      <c r="E43" s="12">
        <v>1</v>
      </c>
      <c r="F43" s="8">
        <v>0.35</v>
      </c>
      <c r="G43" s="12">
        <v>5</v>
      </c>
      <c r="H43" s="8">
        <v>3.73</v>
      </c>
      <c r="I43" s="12">
        <v>0</v>
      </c>
    </row>
    <row r="44" spans="2:9" ht="15" customHeight="1" x14ac:dyDescent="0.15">
      <c r="B44" t="s">
        <v>96</v>
      </c>
      <c r="C44" s="12">
        <v>5</v>
      </c>
      <c r="D44" s="8">
        <v>1.19</v>
      </c>
      <c r="E44" s="12">
        <v>2</v>
      </c>
      <c r="F44" s="8">
        <v>0.7</v>
      </c>
      <c r="G44" s="12">
        <v>3</v>
      </c>
      <c r="H44" s="8">
        <v>2.2400000000000002</v>
      </c>
      <c r="I44" s="12">
        <v>0</v>
      </c>
    </row>
    <row r="45" spans="2:9" ht="15" customHeight="1" x14ac:dyDescent="0.15">
      <c r="B45" t="s">
        <v>85</v>
      </c>
      <c r="C45" s="12">
        <v>5</v>
      </c>
      <c r="D45" s="8">
        <v>1.19</v>
      </c>
      <c r="E45" s="12">
        <v>3</v>
      </c>
      <c r="F45" s="8">
        <v>1.05</v>
      </c>
      <c r="G45" s="12">
        <v>2</v>
      </c>
      <c r="H45" s="8">
        <v>1.49</v>
      </c>
      <c r="I45" s="12">
        <v>0</v>
      </c>
    </row>
    <row r="46" spans="2:9" ht="15" customHeight="1" x14ac:dyDescent="0.15">
      <c r="B46" t="s">
        <v>106</v>
      </c>
      <c r="C46" s="12">
        <v>5</v>
      </c>
      <c r="D46" s="8">
        <v>1.19</v>
      </c>
      <c r="E46" s="12">
        <v>3</v>
      </c>
      <c r="F46" s="8">
        <v>1.05</v>
      </c>
      <c r="G46" s="12">
        <v>2</v>
      </c>
      <c r="H46" s="8">
        <v>1.49</v>
      </c>
      <c r="I46" s="12">
        <v>0</v>
      </c>
    </row>
    <row r="47" spans="2:9" ht="15" customHeight="1" x14ac:dyDescent="0.15">
      <c r="B47" t="s">
        <v>77</v>
      </c>
      <c r="C47" s="12">
        <v>4</v>
      </c>
      <c r="D47" s="8">
        <v>0.95</v>
      </c>
      <c r="E47" s="12">
        <v>2</v>
      </c>
      <c r="F47" s="8">
        <v>0.7</v>
      </c>
      <c r="G47" s="12">
        <v>2</v>
      </c>
      <c r="H47" s="8">
        <v>1.49</v>
      </c>
      <c r="I47" s="12">
        <v>0</v>
      </c>
    </row>
    <row r="48" spans="2:9" ht="15" customHeight="1" x14ac:dyDescent="0.15">
      <c r="B48" t="s">
        <v>103</v>
      </c>
      <c r="C48" s="12">
        <v>4</v>
      </c>
      <c r="D48" s="8">
        <v>0.95</v>
      </c>
      <c r="E48" s="12">
        <v>3</v>
      </c>
      <c r="F48" s="8">
        <v>1.05</v>
      </c>
      <c r="G48" s="12">
        <v>1</v>
      </c>
      <c r="H48" s="8">
        <v>0.75</v>
      </c>
      <c r="I48" s="12">
        <v>0</v>
      </c>
    </row>
    <row r="49" spans="2:9" ht="15" customHeight="1" x14ac:dyDescent="0.15">
      <c r="B49" t="s">
        <v>105</v>
      </c>
      <c r="C49" s="12">
        <v>4</v>
      </c>
      <c r="D49" s="8">
        <v>0.95</v>
      </c>
      <c r="E49" s="12">
        <v>2</v>
      </c>
      <c r="F49" s="8">
        <v>0.7</v>
      </c>
      <c r="G49" s="12">
        <v>2</v>
      </c>
      <c r="H49" s="8">
        <v>1.49</v>
      </c>
      <c r="I49" s="12">
        <v>0</v>
      </c>
    </row>
    <row r="50" spans="2:9" ht="15" customHeight="1" x14ac:dyDescent="0.15">
      <c r="B50" t="s">
        <v>94</v>
      </c>
      <c r="C50" s="12">
        <v>4</v>
      </c>
      <c r="D50" s="8">
        <v>0.95</v>
      </c>
      <c r="E50" s="12">
        <v>0</v>
      </c>
      <c r="F50" s="8">
        <v>0</v>
      </c>
      <c r="G50" s="12">
        <v>4</v>
      </c>
      <c r="H50" s="8">
        <v>2.99</v>
      </c>
      <c r="I50" s="12">
        <v>0</v>
      </c>
    </row>
    <row r="53" spans="2:9" ht="33" customHeight="1" x14ac:dyDescent="0.15">
      <c r="B53" t="s">
        <v>385</v>
      </c>
      <c r="C53" s="10" t="s">
        <v>67</v>
      </c>
      <c r="D53" s="10" t="s">
        <v>68</v>
      </c>
      <c r="E53" s="10" t="s">
        <v>69</v>
      </c>
      <c r="F53" s="10" t="s">
        <v>70</v>
      </c>
      <c r="G53" s="10" t="s">
        <v>71</v>
      </c>
      <c r="H53" s="10" t="s">
        <v>72</v>
      </c>
      <c r="I53" s="10" t="s">
        <v>73</v>
      </c>
    </row>
    <row r="54" spans="2:9" ht="15" customHeight="1" x14ac:dyDescent="0.15">
      <c r="B54" t="s">
        <v>125</v>
      </c>
      <c r="C54" s="12">
        <v>25</v>
      </c>
      <c r="D54" s="8">
        <v>5.95</v>
      </c>
      <c r="E54" s="12">
        <v>4</v>
      </c>
      <c r="F54" s="8">
        <v>1.4</v>
      </c>
      <c r="G54" s="12">
        <v>21</v>
      </c>
      <c r="H54" s="8">
        <v>15.67</v>
      </c>
      <c r="I54" s="12">
        <v>0</v>
      </c>
    </row>
    <row r="55" spans="2:9" ht="15" customHeight="1" x14ac:dyDescent="0.15">
      <c r="B55" t="s">
        <v>138</v>
      </c>
      <c r="C55" s="12">
        <v>18</v>
      </c>
      <c r="D55" s="8">
        <v>4.29</v>
      </c>
      <c r="E55" s="12">
        <v>18</v>
      </c>
      <c r="F55" s="8">
        <v>6.32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148</v>
      </c>
      <c r="C56" s="12">
        <v>15</v>
      </c>
      <c r="D56" s="8">
        <v>3.57</v>
      </c>
      <c r="E56" s="12">
        <v>15</v>
      </c>
      <c r="F56" s="8">
        <v>5.26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141</v>
      </c>
      <c r="C57" s="12">
        <v>15</v>
      </c>
      <c r="D57" s="8">
        <v>3.57</v>
      </c>
      <c r="E57" s="12">
        <v>13</v>
      </c>
      <c r="F57" s="8">
        <v>4.5599999999999996</v>
      </c>
      <c r="G57" s="12">
        <v>2</v>
      </c>
      <c r="H57" s="8">
        <v>1.49</v>
      </c>
      <c r="I57" s="12">
        <v>0</v>
      </c>
    </row>
    <row r="58" spans="2:9" ht="15" customHeight="1" x14ac:dyDescent="0.15">
      <c r="B58" t="s">
        <v>127</v>
      </c>
      <c r="C58" s="12">
        <v>14</v>
      </c>
      <c r="D58" s="8">
        <v>3.33</v>
      </c>
      <c r="E58" s="12">
        <v>9</v>
      </c>
      <c r="F58" s="8">
        <v>3.16</v>
      </c>
      <c r="G58" s="12">
        <v>5</v>
      </c>
      <c r="H58" s="8">
        <v>3.73</v>
      </c>
      <c r="I58" s="12">
        <v>0</v>
      </c>
    </row>
    <row r="59" spans="2:9" ht="15" customHeight="1" x14ac:dyDescent="0.15">
      <c r="B59" t="s">
        <v>132</v>
      </c>
      <c r="C59" s="12">
        <v>14</v>
      </c>
      <c r="D59" s="8">
        <v>3.33</v>
      </c>
      <c r="E59" s="12">
        <v>12</v>
      </c>
      <c r="F59" s="8">
        <v>4.21</v>
      </c>
      <c r="G59" s="12">
        <v>1</v>
      </c>
      <c r="H59" s="8">
        <v>0.75</v>
      </c>
      <c r="I59" s="12">
        <v>1</v>
      </c>
    </row>
    <row r="60" spans="2:9" ht="15" customHeight="1" x14ac:dyDescent="0.15">
      <c r="B60" t="s">
        <v>140</v>
      </c>
      <c r="C60" s="12">
        <v>14</v>
      </c>
      <c r="D60" s="8">
        <v>3.33</v>
      </c>
      <c r="E60" s="12">
        <v>14</v>
      </c>
      <c r="F60" s="8">
        <v>4.91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134</v>
      </c>
      <c r="C61" s="12">
        <v>11</v>
      </c>
      <c r="D61" s="8">
        <v>2.62</v>
      </c>
      <c r="E61" s="12">
        <v>11</v>
      </c>
      <c r="F61" s="8">
        <v>3.86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142</v>
      </c>
      <c r="C62" s="12">
        <v>11</v>
      </c>
      <c r="D62" s="8">
        <v>2.62</v>
      </c>
      <c r="E62" s="12">
        <v>10</v>
      </c>
      <c r="F62" s="8">
        <v>3.51</v>
      </c>
      <c r="G62" s="12">
        <v>1</v>
      </c>
      <c r="H62" s="8">
        <v>0.75</v>
      </c>
      <c r="I62" s="12">
        <v>0</v>
      </c>
    </row>
    <row r="63" spans="2:9" ht="15" customHeight="1" x14ac:dyDescent="0.15">
      <c r="B63" t="s">
        <v>143</v>
      </c>
      <c r="C63" s="12">
        <v>11</v>
      </c>
      <c r="D63" s="8">
        <v>2.62</v>
      </c>
      <c r="E63" s="12">
        <v>11</v>
      </c>
      <c r="F63" s="8">
        <v>3.86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139</v>
      </c>
      <c r="C64" s="12">
        <v>10</v>
      </c>
      <c r="D64" s="8">
        <v>2.38</v>
      </c>
      <c r="E64" s="12">
        <v>4</v>
      </c>
      <c r="F64" s="8">
        <v>1.4</v>
      </c>
      <c r="G64" s="12">
        <v>6</v>
      </c>
      <c r="H64" s="8">
        <v>4.4800000000000004</v>
      </c>
      <c r="I64" s="12">
        <v>0</v>
      </c>
    </row>
    <row r="65" spans="2:9" ht="15" customHeight="1" x14ac:dyDescent="0.15">
      <c r="B65" t="s">
        <v>144</v>
      </c>
      <c r="C65" s="12">
        <v>10</v>
      </c>
      <c r="D65" s="8">
        <v>2.38</v>
      </c>
      <c r="E65" s="12">
        <v>10</v>
      </c>
      <c r="F65" s="8">
        <v>3.51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126</v>
      </c>
      <c r="C66" s="12">
        <v>8</v>
      </c>
      <c r="D66" s="8">
        <v>1.9</v>
      </c>
      <c r="E66" s="12">
        <v>4</v>
      </c>
      <c r="F66" s="8">
        <v>1.4</v>
      </c>
      <c r="G66" s="12">
        <v>4</v>
      </c>
      <c r="H66" s="8">
        <v>2.99</v>
      </c>
      <c r="I66" s="12">
        <v>0</v>
      </c>
    </row>
    <row r="67" spans="2:9" ht="15" customHeight="1" x14ac:dyDescent="0.15">
      <c r="B67" t="s">
        <v>167</v>
      </c>
      <c r="C67" s="12">
        <v>8</v>
      </c>
      <c r="D67" s="8">
        <v>1.9</v>
      </c>
      <c r="E67" s="12">
        <v>6</v>
      </c>
      <c r="F67" s="8">
        <v>2.11</v>
      </c>
      <c r="G67" s="12">
        <v>2</v>
      </c>
      <c r="H67" s="8">
        <v>1.49</v>
      </c>
      <c r="I67" s="12">
        <v>0</v>
      </c>
    </row>
    <row r="68" spans="2:9" ht="15" customHeight="1" x14ac:dyDescent="0.15">
      <c r="B68" t="s">
        <v>155</v>
      </c>
      <c r="C68" s="12">
        <v>8</v>
      </c>
      <c r="D68" s="8">
        <v>1.9</v>
      </c>
      <c r="E68" s="12">
        <v>7</v>
      </c>
      <c r="F68" s="8">
        <v>2.46</v>
      </c>
      <c r="G68" s="12">
        <v>1</v>
      </c>
      <c r="H68" s="8">
        <v>0.75</v>
      </c>
      <c r="I68" s="12">
        <v>0</v>
      </c>
    </row>
    <row r="69" spans="2:9" ht="15" customHeight="1" x14ac:dyDescent="0.15">
      <c r="B69" t="s">
        <v>129</v>
      </c>
      <c r="C69" s="12">
        <v>8</v>
      </c>
      <c r="D69" s="8">
        <v>1.9</v>
      </c>
      <c r="E69" s="12">
        <v>6</v>
      </c>
      <c r="F69" s="8">
        <v>2.11</v>
      </c>
      <c r="G69" s="12">
        <v>2</v>
      </c>
      <c r="H69" s="8">
        <v>1.49</v>
      </c>
      <c r="I69" s="12">
        <v>0</v>
      </c>
    </row>
    <row r="70" spans="2:9" ht="15" customHeight="1" x14ac:dyDescent="0.15">
      <c r="B70" t="s">
        <v>160</v>
      </c>
      <c r="C70" s="12">
        <v>6</v>
      </c>
      <c r="D70" s="8">
        <v>1.43</v>
      </c>
      <c r="E70" s="12">
        <v>4</v>
      </c>
      <c r="F70" s="8">
        <v>1.4</v>
      </c>
      <c r="G70" s="12">
        <v>2</v>
      </c>
      <c r="H70" s="8">
        <v>1.49</v>
      </c>
      <c r="I70" s="12">
        <v>0</v>
      </c>
    </row>
    <row r="71" spans="2:9" ht="15" customHeight="1" x14ac:dyDescent="0.15">
      <c r="B71" t="s">
        <v>130</v>
      </c>
      <c r="C71" s="12">
        <v>6</v>
      </c>
      <c r="D71" s="8">
        <v>1.43</v>
      </c>
      <c r="E71" s="12">
        <v>5</v>
      </c>
      <c r="F71" s="8">
        <v>1.75</v>
      </c>
      <c r="G71" s="12">
        <v>1</v>
      </c>
      <c r="H71" s="8">
        <v>0.75</v>
      </c>
      <c r="I71" s="12">
        <v>0</v>
      </c>
    </row>
    <row r="72" spans="2:9" ht="15" customHeight="1" x14ac:dyDescent="0.15">
      <c r="B72" t="s">
        <v>151</v>
      </c>
      <c r="C72" s="12">
        <v>6</v>
      </c>
      <c r="D72" s="8">
        <v>1.43</v>
      </c>
      <c r="E72" s="12">
        <v>6</v>
      </c>
      <c r="F72" s="8">
        <v>2.11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207</v>
      </c>
      <c r="C73" s="12">
        <v>6</v>
      </c>
      <c r="D73" s="8">
        <v>1.43</v>
      </c>
      <c r="E73" s="12">
        <v>6</v>
      </c>
      <c r="F73" s="8">
        <v>2.11</v>
      </c>
      <c r="G73" s="12">
        <v>0</v>
      </c>
      <c r="H73" s="8">
        <v>0</v>
      </c>
      <c r="I73" s="12">
        <v>0</v>
      </c>
    </row>
    <row r="75" spans="2:9" ht="15" customHeight="1" x14ac:dyDescent="0.15">
      <c r="B75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386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143</v>
      </c>
      <c r="D6" s="8">
        <v>24.16</v>
      </c>
      <c r="E6" s="12">
        <v>94</v>
      </c>
      <c r="F6" s="8">
        <v>21.32</v>
      </c>
      <c r="G6" s="12">
        <v>49</v>
      </c>
      <c r="H6" s="8">
        <v>32.67</v>
      </c>
      <c r="I6" s="12">
        <v>0</v>
      </c>
    </row>
    <row r="7" spans="2:9" ht="15" customHeight="1" x14ac:dyDescent="0.15">
      <c r="B7" t="s">
        <v>53</v>
      </c>
      <c r="C7" s="12">
        <v>57</v>
      </c>
      <c r="D7" s="8">
        <v>9.6300000000000008</v>
      </c>
      <c r="E7" s="12">
        <v>32</v>
      </c>
      <c r="F7" s="8">
        <v>7.26</v>
      </c>
      <c r="G7" s="12">
        <v>24</v>
      </c>
      <c r="H7" s="8">
        <v>16</v>
      </c>
      <c r="I7" s="12">
        <v>1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2</v>
      </c>
      <c r="D9" s="8">
        <v>0.34</v>
      </c>
      <c r="E9" s="12">
        <v>0</v>
      </c>
      <c r="F9" s="8">
        <v>0</v>
      </c>
      <c r="G9" s="12">
        <v>2</v>
      </c>
      <c r="H9" s="8">
        <v>1.33</v>
      </c>
      <c r="I9" s="12">
        <v>0</v>
      </c>
    </row>
    <row r="10" spans="2:9" ht="15" customHeight="1" x14ac:dyDescent="0.15">
      <c r="B10" t="s">
        <v>56</v>
      </c>
      <c r="C10" s="12">
        <v>8</v>
      </c>
      <c r="D10" s="8">
        <v>1.35</v>
      </c>
      <c r="E10" s="12">
        <v>6</v>
      </c>
      <c r="F10" s="8">
        <v>1.36</v>
      </c>
      <c r="G10" s="12">
        <v>2</v>
      </c>
      <c r="H10" s="8">
        <v>1.33</v>
      </c>
      <c r="I10" s="12">
        <v>0</v>
      </c>
    </row>
    <row r="11" spans="2:9" ht="15" customHeight="1" x14ac:dyDescent="0.15">
      <c r="B11" t="s">
        <v>57</v>
      </c>
      <c r="C11" s="12">
        <v>164</v>
      </c>
      <c r="D11" s="8">
        <v>27.7</v>
      </c>
      <c r="E11" s="12">
        <v>128</v>
      </c>
      <c r="F11" s="8">
        <v>29.02</v>
      </c>
      <c r="G11" s="12">
        <v>36</v>
      </c>
      <c r="H11" s="8">
        <v>24</v>
      </c>
      <c r="I11" s="12">
        <v>0</v>
      </c>
    </row>
    <row r="12" spans="2:9" ht="15" customHeight="1" x14ac:dyDescent="0.15">
      <c r="B12" t="s">
        <v>58</v>
      </c>
      <c r="C12" s="12">
        <v>11</v>
      </c>
      <c r="D12" s="8">
        <v>1.86</v>
      </c>
      <c r="E12" s="12">
        <v>9</v>
      </c>
      <c r="F12" s="8">
        <v>2.04</v>
      </c>
      <c r="G12" s="12">
        <v>2</v>
      </c>
      <c r="H12" s="8">
        <v>1.33</v>
      </c>
      <c r="I12" s="12">
        <v>0</v>
      </c>
    </row>
    <row r="13" spans="2:9" ht="15" customHeight="1" x14ac:dyDescent="0.15">
      <c r="B13" t="s">
        <v>59</v>
      </c>
      <c r="C13" s="12">
        <v>11</v>
      </c>
      <c r="D13" s="8">
        <v>1.86</v>
      </c>
      <c r="E13" s="12">
        <v>6</v>
      </c>
      <c r="F13" s="8">
        <v>1.36</v>
      </c>
      <c r="G13" s="12">
        <v>5</v>
      </c>
      <c r="H13" s="8">
        <v>3.33</v>
      </c>
      <c r="I13" s="12">
        <v>0</v>
      </c>
    </row>
    <row r="14" spans="2:9" ht="15" customHeight="1" x14ac:dyDescent="0.15">
      <c r="B14" t="s">
        <v>60</v>
      </c>
      <c r="C14" s="12">
        <v>21</v>
      </c>
      <c r="D14" s="8">
        <v>3.55</v>
      </c>
      <c r="E14" s="12">
        <v>14</v>
      </c>
      <c r="F14" s="8">
        <v>3.17</v>
      </c>
      <c r="G14" s="12">
        <v>7</v>
      </c>
      <c r="H14" s="8">
        <v>4.67</v>
      </c>
      <c r="I14" s="12">
        <v>0</v>
      </c>
    </row>
    <row r="15" spans="2:9" ht="15" customHeight="1" x14ac:dyDescent="0.15">
      <c r="B15" t="s">
        <v>61</v>
      </c>
      <c r="C15" s="12">
        <v>56</v>
      </c>
      <c r="D15" s="8">
        <v>9.4600000000000009</v>
      </c>
      <c r="E15" s="12">
        <v>53</v>
      </c>
      <c r="F15" s="8">
        <v>12.02</v>
      </c>
      <c r="G15" s="12">
        <v>3</v>
      </c>
      <c r="H15" s="8">
        <v>2</v>
      </c>
      <c r="I15" s="12">
        <v>0</v>
      </c>
    </row>
    <row r="16" spans="2:9" ht="15" customHeight="1" x14ac:dyDescent="0.15">
      <c r="B16" t="s">
        <v>62</v>
      </c>
      <c r="C16" s="12">
        <v>67</v>
      </c>
      <c r="D16" s="8">
        <v>11.32</v>
      </c>
      <c r="E16" s="12">
        <v>65</v>
      </c>
      <c r="F16" s="8">
        <v>14.74</v>
      </c>
      <c r="G16" s="12">
        <v>2</v>
      </c>
      <c r="H16" s="8">
        <v>1.33</v>
      </c>
      <c r="I16" s="12">
        <v>0</v>
      </c>
    </row>
    <row r="17" spans="2:9" ht="15" customHeight="1" x14ac:dyDescent="0.15">
      <c r="B17" t="s">
        <v>63</v>
      </c>
      <c r="C17" s="12">
        <v>16</v>
      </c>
      <c r="D17" s="8">
        <v>2.7</v>
      </c>
      <c r="E17" s="12">
        <v>13</v>
      </c>
      <c r="F17" s="8">
        <v>2.95</v>
      </c>
      <c r="G17" s="12">
        <v>3</v>
      </c>
      <c r="H17" s="8">
        <v>2</v>
      </c>
      <c r="I17" s="12">
        <v>0</v>
      </c>
    </row>
    <row r="18" spans="2:9" ht="15" customHeight="1" x14ac:dyDescent="0.15">
      <c r="B18" t="s">
        <v>64</v>
      </c>
      <c r="C18" s="12">
        <v>15</v>
      </c>
      <c r="D18" s="8">
        <v>2.5299999999999998</v>
      </c>
      <c r="E18" s="12">
        <v>8</v>
      </c>
      <c r="F18" s="8">
        <v>1.81</v>
      </c>
      <c r="G18" s="12">
        <v>7</v>
      </c>
      <c r="H18" s="8">
        <v>4.67</v>
      </c>
      <c r="I18" s="12">
        <v>0</v>
      </c>
    </row>
    <row r="19" spans="2:9" ht="15" customHeight="1" x14ac:dyDescent="0.15">
      <c r="B19" t="s">
        <v>65</v>
      </c>
      <c r="C19" s="12">
        <v>21</v>
      </c>
      <c r="D19" s="8">
        <v>3.55</v>
      </c>
      <c r="E19" s="12">
        <v>13</v>
      </c>
      <c r="F19" s="8">
        <v>2.95</v>
      </c>
      <c r="G19" s="12">
        <v>8</v>
      </c>
      <c r="H19" s="8">
        <v>5.33</v>
      </c>
      <c r="I19" s="12">
        <v>0</v>
      </c>
    </row>
    <row r="20" spans="2:9" ht="15" customHeight="1" x14ac:dyDescent="0.15">
      <c r="B20" s="9" t="s">
        <v>215</v>
      </c>
      <c r="C20" s="12">
        <f>SUM(LTBL_28501[総数／事業所数])</f>
        <v>592</v>
      </c>
      <c r="E20" s="12">
        <f>SUBTOTAL(109,LTBL_28501[個人／事業所数])</f>
        <v>441</v>
      </c>
      <c r="G20" s="12">
        <f>SUBTOTAL(109,LTBL_28501[法人／事業所数])</f>
        <v>150</v>
      </c>
      <c r="I20" s="12">
        <f>SUBTOTAL(109,LTBL_28501[法人以外の団体／事業所数])</f>
        <v>1</v>
      </c>
    </row>
    <row r="21" spans="2:9" ht="15" customHeight="1" x14ac:dyDescent="0.15">
      <c r="E21" s="11">
        <f>LTBL_28501[[#Totals],[個人／事業所数]]/LTBL_28501[[#Totals],[総数／事業所数]]</f>
        <v>0.74493243243243246</v>
      </c>
      <c r="G21" s="11">
        <f>LTBL_28501[[#Totals],[法人／事業所数]]/LTBL_28501[[#Totals],[総数／事業所数]]</f>
        <v>0.2533783783783784</v>
      </c>
      <c r="I21" s="11">
        <f>LTBL_28501[[#Totals],[法人以外の団体／事業所数]]/LTBL_28501[[#Totals],[総数／事業所数]]</f>
        <v>1.6891891891891893E-3</v>
      </c>
    </row>
    <row r="23" spans="2:9" ht="33" customHeight="1" x14ac:dyDescent="0.15">
      <c r="B23" t="s">
        <v>214</v>
      </c>
      <c r="C23" s="10" t="s">
        <v>67</v>
      </c>
      <c r="D23" s="10" t="s">
        <v>221</v>
      </c>
      <c r="E23" s="10" t="s">
        <v>69</v>
      </c>
      <c r="F23" s="10" t="s">
        <v>247</v>
      </c>
      <c r="G23" s="10" t="s">
        <v>71</v>
      </c>
      <c r="H23" s="10" t="s">
        <v>313</v>
      </c>
      <c r="I23" s="10" t="s">
        <v>73</v>
      </c>
    </row>
    <row r="24" spans="2:9" ht="15" customHeight="1" x14ac:dyDescent="0.15">
      <c r="B24" t="s">
        <v>217</v>
      </c>
      <c r="C24">
        <v>10</v>
      </c>
      <c r="D24" t="s">
        <v>216</v>
      </c>
      <c r="E24">
        <v>0</v>
      </c>
      <c r="F24" t="s">
        <v>218</v>
      </c>
      <c r="G24">
        <v>10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229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74</v>
      </c>
      <c r="C29" s="12">
        <v>74</v>
      </c>
      <c r="D29" s="8">
        <v>12.5</v>
      </c>
      <c r="E29" s="12">
        <v>37</v>
      </c>
      <c r="F29" s="8">
        <v>8.39</v>
      </c>
      <c r="G29" s="12">
        <v>37</v>
      </c>
      <c r="H29" s="8">
        <v>24.67</v>
      </c>
      <c r="I29" s="12">
        <v>0</v>
      </c>
    </row>
    <row r="30" spans="2:9" ht="15" customHeight="1" x14ac:dyDescent="0.15">
      <c r="B30" t="s">
        <v>90</v>
      </c>
      <c r="C30" s="12">
        <v>62</v>
      </c>
      <c r="D30" s="8">
        <v>10.47</v>
      </c>
      <c r="E30" s="12">
        <v>62</v>
      </c>
      <c r="F30" s="8">
        <v>14.06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89</v>
      </c>
      <c r="C31" s="12">
        <v>46</v>
      </c>
      <c r="D31" s="8">
        <v>7.77</v>
      </c>
      <c r="E31" s="12">
        <v>46</v>
      </c>
      <c r="F31" s="8">
        <v>10.43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84</v>
      </c>
      <c r="C32" s="12">
        <v>45</v>
      </c>
      <c r="D32" s="8">
        <v>7.6</v>
      </c>
      <c r="E32" s="12">
        <v>28</v>
      </c>
      <c r="F32" s="8">
        <v>6.35</v>
      </c>
      <c r="G32" s="12">
        <v>17</v>
      </c>
      <c r="H32" s="8">
        <v>11.33</v>
      </c>
      <c r="I32" s="12">
        <v>0</v>
      </c>
    </row>
    <row r="33" spans="2:9" ht="15" customHeight="1" x14ac:dyDescent="0.15">
      <c r="B33" t="s">
        <v>75</v>
      </c>
      <c r="C33" s="12">
        <v>43</v>
      </c>
      <c r="D33" s="8">
        <v>7.26</v>
      </c>
      <c r="E33" s="12">
        <v>38</v>
      </c>
      <c r="F33" s="8">
        <v>8.6199999999999992</v>
      </c>
      <c r="G33" s="12">
        <v>5</v>
      </c>
      <c r="H33" s="8">
        <v>3.33</v>
      </c>
      <c r="I33" s="12">
        <v>0</v>
      </c>
    </row>
    <row r="34" spans="2:9" ht="15" customHeight="1" x14ac:dyDescent="0.15">
      <c r="B34" t="s">
        <v>82</v>
      </c>
      <c r="C34" s="12">
        <v>43</v>
      </c>
      <c r="D34" s="8">
        <v>7.26</v>
      </c>
      <c r="E34" s="12">
        <v>39</v>
      </c>
      <c r="F34" s="8">
        <v>8.84</v>
      </c>
      <c r="G34" s="12">
        <v>4</v>
      </c>
      <c r="H34" s="8">
        <v>2.67</v>
      </c>
      <c r="I34" s="12">
        <v>0</v>
      </c>
    </row>
    <row r="35" spans="2:9" ht="15" customHeight="1" x14ac:dyDescent="0.15">
      <c r="B35" t="s">
        <v>76</v>
      </c>
      <c r="C35" s="12">
        <v>26</v>
      </c>
      <c r="D35" s="8">
        <v>4.3899999999999997</v>
      </c>
      <c r="E35" s="12">
        <v>19</v>
      </c>
      <c r="F35" s="8">
        <v>4.3099999999999996</v>
      </c>
      <c r="G35" s="12">
        <v>7</v>
      </c>
      <c r="H35" s="8">
        <v>4.67</v>
      </c>
      <c r="I35" s="12">
        <v>0</v>
      </c>
    </row>
    <row r="36" spans="2:9" ht="15" customHeight="1" x14ac:dyDescent="0.15">
      <c r="B36" t="s">
        <v>83</v>
      </c>
      <c r="C36" s="12">
        <v>26</v>
      </c>
      <c r="D36" s="8">
        <v>4.3899999999999997</v>
      </c>
      <c r="E36" s="12">
        <v>23</v>
      </c>
      <c r="F36" s="8">
        <v>5.22</v>
      </c>
      <c r="G36" s="12">
        <v>3</v>
      </c>
      <c r="H36" s="8">
        <v>2</v>
      </c>
      <c r="I36" s="12">
        <v>0</v>
      </c>
    </row>
    <row r="37" spans="2:9" ht="15" customHeight="1" x14ac:dyDescent="0.15">
      <c r="B37" t="s">
        <v>81</v>
      </c>
      <c r="C37" s="12">
        <v>16</v>
      </c>
      <c r="D37" s="8">
        <v>2.7</v>
      </c>
      <c r="E37" s="12">
        <v>11</v>
      </c>
      <c r="F37" s="8">
        <v>2.4900000000000002</v>
      </c>
      <c r="G37" s="12">
        <v>5</v>
      </c>
      <c r="H37" s="8">
        <v>3.33</v>
      </c>
      <c r="I37" s="12">
        <v>0</v>
      </c>
    </row>
    <row r="38" spans="2:9" ht="15" customHeight="1" x14ac:dyDescent="0.15">
      <c r="B38" t="s">
        <v>92</v>
      </c>
      <c r="C38" s="12">
        <v>16</v>
      </c>
      <c r="D38" s="8">
        <v>2.7</v>
      </c>
      <c r="E38" s="12">
        <v>13</v>
      </c>
      <c r="F38" s="8">
        <v>2.95</v>
      </c>
      <c r="G38" s="12">
        <v>3</v>
      </c>
      <c r="H38" s="8">
        <v>2</v>
      </c>
      <c r="I38" s="12">
        <v>0</v>
      </c>
    </row>
    <row r="39" spans="2:9" ht="15" customHeight="1" x14ac:dyDescent="0.15">
      <c r="B39" t="s">
        <v>107</v>
      </c>
      <c r="C39" s="12">
        <v>15</v>
      </c>
      <c r="D39" s="8">
        <v>2.5299999999999998</v>
      </c>
      <c r="E39" s="12">
        <v>8</v>
      </c>
      <c r="F39" s="8">
        <v>1.81</v>
      </c>
      <c r="G39" s="12">
        <v>6</v>
      </c>
      <c r="H39" s="8">
        <v>4</v>
      </c>
      <c r="I39" s="12">
        <v>1</v>
      </c>
    </row>
    <row r="40" spans="2:9" ht="15" customHeight="1" x14ac:dyDescent="0.15">
      <c r="B40" t="s">
        <v>88</v>
      </c>
      <c r="C40" s="12">
        <v>14</v>
      </c>
      <c r="D40" s="8">
        <v>2.36</v>
      </c>
      <c r="E40" s="12">
        <v>7</v>
      </c>
      <c r="F40" s="8">
        <v>1.59</v>
      </c>
      <c r="G40" s="12">
        <v>7</v>
      </c>
      <c r="H40" s="8">
        <v>4.67</v>
      </c>
      <c r="I40" s="12">
        <v>0</v>
      </c>
    </row>
    <row r="41" spans="2:9" ht="15" customHeight="1" x14ac:dyDescent="0.15">
      <c r="B41" t="s">
        <v>106</v>
      </c>
      <c r="C41" s="12">
        <v>13</v>
      </c>
      <c r="D41" s="8">
        <v>2.2000000000000002</v>
      </c>
      <c r="E41" s="12">
        <v>11</v>
      </c>
      <c r="F41" s="8">
        <v>2.4900000000000002</v>
      </c>
      <c r="G41" s="12">
        <v>2</v>
      </c>
      <c r="H41" s="8">
        <v>1.33</v>
      </c>
      <c r="I41" s="12">
        <v>0</v>
      </c>
    </row>
    <row r="42" spans="2:9" ht="15" customHeight="1" x14ac:dyDescent="0.15">
      <c r="B42" t="s">
        <v>103</v>
      </c>
      <c r="C42" s="12">
        <v>12</v>
      </c>
      <c r="D42" s="8">
        <v>2.0299999999999998</v>
      </c>
      <c r="E42" s="12">
        <v>12</v>
      </c>
      <c r="F42" s="8">
        <v>2.72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111</v>
      </c>
      <c r="C43" s="12">
        <v>11</v>
      </c>
      <c r="D43" s="8">
        <v>1.86</v>
      </c>
      <c r="E43" s="12">
        <v>9</v>
      </c>
      <c r="F43" s="8">
        <v>2.04</v>
      </c>
      <c r="G43" s="12">
        <v>2</v>
      </c>
      <c r="H43" s="8">
        <v>1.33</v>
      </c>
      <c r="I43" s="12">
        <v>0</v>
      </c>
    </row>
    <row r="44" spans="2:9" ht="15" customHeight="1" x14ac:dyDescent="0.15">
      <c r="B44" t="s">
        <v>80</v>
      </c>
      <c r="C44" s="12">
        <v>9</v>
      </c>
      <c r="D44" s="8">
        <v>1.52</v>
      </c>
      <c r="E44" s="12">
        <v>8</v>
      </c>
      <c r="F44" s="8">
        <v>1.81</v>
      </c>
      <c r="G44" s="12">
        <v>1</v>
      </c>
      <c r="H44" s="8">
        <v>0.67</v>
      </c>
      <c r="I44" s="12">
        <v>0</v>
      </c>
    </row>
    <row r="45" spans="2:9" ht="15" customHeight="1" x14ac:dyDescent="0.15">
      <c r="B45" t="s">
        <v>110</v>
      </c>
      <c r="C45" s="12">
        <v>8</v>
      </c>
      <c r="D45" s="8">
        <v>1.35</v>
      </c>
      <c r="E45" s="12">
        <v>5</v>
      </c>
      <c r="F45" s="8">
        <v>1.1299999999999999</v>
      </c>
      <c r="G45" s="12">
        <v>3</v>
      </c>
      <c r="H45" s="8">
        <v>2</v>
      </c>
      <c r="I45" s="12">
        <v>0</v>
      </c>
    </row>
    <row r="46" spans="2:9" ht="15" customHeight="1" x14ac:dyDescent="0.15">
      <c r="B46" t="s">
        <v>86</v>
      </c>
      <c r="C46" s="12">
        <v>8</v>
      </c>
      <c r="D46" s="8">
        <v>1.35</v>
      </c>
      <c r="E46" s="12">
        <v>5</v>
      </c>
      <c r="F46" s="8">
        <v>1.1299999999999999</v>
      </c>
      <c r="G46" s="12">
        <v>3</v>
      </c>
      <c r="H46" s="8">
        <v>2</v>
      </c>
      <c r="I46" s="12">
        <v>0</v>
      </c>
    </row>
    <row r="47" spans="2:9" ht="15" customHeight="1" x14ac:dyDescent="0.15">
      <c r="B47" t="s">
        <v>93</v>
      </c>
      <c r="C47" s="12">
        <v>8</v>
      </c>
      <c r="D47" s="8">
        <v>1.35</v>
      </c>
      <c r="E47" s="12">
        <v>8</v>
      </c>
      <c r="F47" s="8">
        <v>1.81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87</v>
      </c>
      <c r="C48" s="12">
        <v>7</v>
      </c>
      <c r="D48" s="8">
        <v>1.18</v>
      </c>
      <c r="E48" s="12">
        <v>7</v>
      </c>
      <c r="F48" s="8">
        <v>1.59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94</v>
      </c>
      <c r="C49" s="12">
        <v>7</v>
      </c>
      <c r="D49" s="8">
        <v>1.18</v>
      </c>
      <c r="E49" s="12">
        <v>0</v>
      </c>
      <c r="F49" s="8">
        <v>0</v>
      </c>
      <c r="G49" s="12">
        <v>7</v>
      </c>
      <c r="H49" s="8">
        <v>4.67</v>
      </c>
      <c r="I49" s="12">
        <v>0</v>
      </c>
    </row>
    <row r="52" spans="2:9" ht="33" customHeight="1" x14ac:dyDescent="0.15">
      <c r="B52" t="s">
        <v>244</v>
      </c>
      <c r="C52" s="10" t="s">
        <v>67</v>
      </c>
      <c r="D52" s="10" t="s">
        <v>68</v>
      </c>
      <c r="E52" s="10" t="s">
        <v>69</v>
      </c>
      <c r="F52" s="10" t="s">
        <v>70</v>
      </c>
      <c r="G52" s="10" t="s">
        <v>71</v>
      </c>
      <c r="H52" s="10" t="s">
        <v>72</v>
      </c>
      <c r="I52" s="10" t="s">
        <v>73</v>
      </c>
    </row>
    <row r="53" spans="2:9" ht="15" customHeight="1" x14ac:dyDescent="0.15">
      <c r="B53" t="s">
        <v>125</v>
      </c>
      <c r="C53" s="12">
        <v>39</v>
      </c>
      <c r="D53" s="8">
        <v>6.59</v>
      </c>
      <c r="E53" s="12">
        <v>12</v>
      </c>
      <c r="F53" s="8">
        <v>2.72</v>
      </c>
      <c r="G53" s="12">
        <v>27</v>
      </c>
      <c r="H53" s="8">
        <v>18</v>
      </c>
      <c r="I53" s="12">
        <v>0</v>
      </c>
    </row>
    <row r="54" spans="2:9" ht="15" customHeight="1" x14ac:dyDescent="0.15">
      <c r="B54" t="s">
        <v>141</v>
      </c>
      <c r="C54" s="12">
        <v>31</v>
      </c>
      <c r="D54" s="8">
        <v>5.24</v>
      </c>
      <c r="E54" s="12">
        <v>31</v>
      </c>
      <c r="F54" s="8">
        <v>7.03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140</v>
      </c>
      <c r="C55" s="12">
        <v>23</v>
      </c>
      <c r="D55" s="8">
        <v>3.89</v>
      </c>
      <c r="E55" s="12">
        <v>23</v>
      </c>
      <c r="F55" s="8">
        <v>5.22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167</v>
      </c>
      <c r="C56" s="12">
        <v>20</v>
      </c>
      <c r="D56" s="8">
        <v>3.38</v>
      </c>
      <c r="E56" s="12">
        <v>17</v>
      </c>
      <c r="F56" s="8">
        <v>3.85</v>
      </c>
      <c r="G56" s="12">
        <v>3</v>
      </c>
      <c r="H56" s="8">
        <v>2</v>
      </c>
      <c r="I56" s="12">
        <v>0</v>
      </c>
    </row>
    <row r="57" spans="2:9" ht="15" customHeight="1" x14ac:dyDescent="0.15">
      <c r="B57" t="s">
        <v>138</v>
      </c>
      <c r="C57" s="12">
        <v>16</v>
      </c>
      <c r="D57" s="8">
        <v>2.7</v>
      </c>
      <c r="E57" s="12">
        <v>16</v>
      </c>
      <c r="F57" s="8">
        <v>3.63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127</v>
      </c>
      <c r="C58" s="12">
        <v>15</v>
      </c>
      <c r="D58" s="8">
        <v>2.5299999999999998</v>
      </c>
      <c r="E58" s="12">
        <v>13</v>
      </c>
      <c r="F58" s="8">
        <v>2.95</v>
      </c>
      <c r="G58" s="12">
        <v>2</v>
      </c>
      <c r="H58" s="8">
        <v>1.33</v>
      </c>
      <c r="I58" s="12">
        <v>0</v>
      </c>
    </row>
    <row r="59" spans="2:9" ht="15" customHeight="1" x14ac:dyDescent="0.15">
      <c r="B59" t="s">
        <v>130</v>
      </c>
      <c r="C59" s="12">
        <v>15</v>
      </c>
      <c r="D59" s="8">
        <v>2.5299999999999998</v>
      </c>
      <c r="E59" s="12">
        <v>13</v>
      </c>
      <c r="F59" s="8">
        <v>2.95</v>
      </c>
      <c r="G59" s="12">
        <v>2</v>
      </c>
      <c r="H59" s="8">
        <v>1.33</v>
      </c>
      <c r="I59" s="12">
        <v>0</v>
      </c>
    </row>
    <row r="60" spans="2:9" ht="15" customHeight="1" x14ac:dyDescent="0.15">
      <c r="B60" t="s">
        <v>132</v>
      </c>
      <c r="C60" s="12">
        <v>13</v>
      </c>
      <c r="D60" s="8">
        <v>2.2000000000000002</v>
      </c>
      <c r="E60" s="12">
        <v>12</v>
      </c>
      <c r="F60" s="8">
        <v>2.72</v>
      </c>
      <c r="G60" s="12">
        <v>1</v>
      </c>
      <c r="H60" s="8">
        <v>0.67</v>
      </c>
      <c r="I60" s="12">
        <v>0</v>
      </c>
    </row>
    <row r="61" spans="2:9" ht="15" customHeight="1" x14ac:dyDescent="0.15">
      <c r="B61" t="s">
        <v>166</v>
      </c>
      <c r="C61" s="12">
        <v>13</v>
      </c>
      <c r="D61" s="8">
        <v>2.2000000000000002</v>
      </c>
      <c r="E61" s="12">
        <v>11</v>
      </c>
      <c r="F61" s="8">
        <v>2.4900000000000002</v>
      </c>
      <c r="G61" s="12">
        <v>2</v>
      </c>
      <c r="H61" s="8">
        <v>1.33</v>
      </c>
      <c r="I61" s="12">
        <v>0</v>
      </c>
    </row>
    <row r="62" spans="2:9" ht="15" customHeight="1" x14ac:dyDescent="0.15">
      <c r="B62" t="s">
        <v>192</v>
      </c>
      <c r="C62" s="12">
        <v>12</v>
      </c>
      <c r="D62" s="8">
        <v>2.0299999999999998</v>
      </c>
      <c r="E62" s="12">
        <v>5</v>
      </c>
      <c r="F62" s="8">
        <v>1.1299999999999999</v>
      </c>
      <c r="G62" s="12">
        <v>6</v>
      </c>
      <c r="H62" s="8">
        <v>4</v>
      </c>
      <c r="I62" s="12">
        <v>1</v>
      </c>
    </row>
    <row r="63" spans="2:9" ht="15" customHeight="1" x14ac:dyDescent="0.15">
      <c r="B63" t="s">
        <v>155</v>
      </c>
      <c r="C63" s="12">
        <v>11</v>
      </c>
      <c r="D63" s="8">
        <v>1.86</v>
      </c>
      <c r="E63" s="12">
        <v>10</v>
      </c>
      <c r="F63" s="8">
        <v>2.27</v>
      </c>
      <c r="G63" s="12">
        <v>1</v>
      </c>
      <c r="H63" s="8">
        <v>0.67</v>
      </c>
      <c r="I63" s="12">
        <v>0</v>
      </c>
    </row>
    <row r="64" spans="2:9" ht="15" customHeight="1" x14ac:dyDescent="0.15">
      <c r="B64" t="s">
        <v>202</v>
      </c>
      <c r="C64" s="12">
        <v>11</v>
      </c>
      <c r="D64" s="8">
        <v>1.86</v>
      </c>
      <c r="E64" s="12">
        <v>9</v>
      </c>
      <c r="F64" s="8">
        <v>2.04</v>
      </c>
      <c r="G64" s="12">
        <v>2</v>
      </c>
      <c r="H64" s="8">
        <v>1.33</v>
      </c>
      <c r="I64" s="12">
        <v>0</v>
      </c>
    </row>
    <row r="65" spans="2:9" ht="15" customHeight="1" x14ac:dyDescent="0.15">
      <c r="B65" t="s">
        <v>135</v>
      </c>
      <c r="C65" s="12">
        <v>11</v>
      </c>
      <c r="D65" s="8">
        <v>1.86</v>
      </c>
      <c r="E65" s="12">
        <v>11</v>
      </c>
      <c r="F65" s="8">
        <v>2.4900000000000002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126</v>
      </c>
      <c r="C66" s="12">
        <v>10</v>
      </c>
      <c r="D66" s="8">
        <v>1.69</v>
      </c>
      <c r="E66" s="12">
        <v>6</v>
      </c>
      <c r="F66" s="8">
        <v>1.36</v>
      </c>
      <c r="G66" s="12">
        <v>4</v>
      </c>
      <c r="H66" s="8">
        <v>2.67</v>
      </c>
      <c r="I66" s="12">
        <v>0</v>
      </c>
    </row>
    <row r="67" spans="2:9" ht="15" customHeight="1" x14ac:dyDescent="0.15">
      <c r="B67" t="s">
        <v>168</v>
      </c>
      <c r="C67" s="12">
        <v>10</v>
      </c>
      <c r="D67" s="8">
        <v>1.69</v>
      </c>
      <c r="E67" s="12">
        <v>9</v>
      </c>
      <c r="F67" s="8">
        <v>2.04</v>
      </c>
      <c r="G67" s="12">
        <v>1</v>
      </c>
      <c r="H67" s="8">
        <v>0.67</v>
      </c>
      <c r="I67" s="12">
        <v>0</v>
      </c>
    </row>
    <row r="68" spans="2:9" ht="15" customHeight="1" x14ac:dyDescent="0.15">
      <c r="B68" t="s">
        <v>160</v>
      </c>
      <c r="C68" s="12">
        <v>10</v>
      </c>
      <c r="D68" s="8">
        <v>1.69</v>
      </c>
      <c r="E68" s="12">
        <v>6</v>
      </c>
      <c r="F68" s="8">
        <v>1.36</v>
      </c>
      <c r="G68" s="12">
        <v>4</v>
      </c>
      <c r="H68" s="8">
        <v>2.67</v>
      </c>
      <c r="I68" s="12">
        <v>0</v>
      </c>
    </row>
    <row r="69" spans="2:9" ht="15" customHeight="1" x14ac:dyDescent="0.15">
      <c r="B69" t="s">
        <v>129</v>
      </c>
      <c r="C69" s="12">
        <v>9</v>
      </c>
      <c r="D69" s="8">
        <v>1.52</v>
      </c>
      <c r="E69" s="12">
        <v>9</v>
      </c>
      <c r="F69" s="8">
        <v>2.04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159</v>
      </c>
      <c r="C70" s="12">
        <v>9</v>
      </c>
      <c r="D70" s="8">
        <v>1.52</v>
      </c>
      <c r="E70" s="12">
        <v>8</v>
      </c>
      <c r="F70" s="8">
        <v>1.81</v>
      </c>
      <c r="G70" s="12">
        <v>1</v>
      </c>
      <c r="H70" s="8">
        <v>0.67</v>
      </c>
      <c r="I70" s="12">
        <v>0</v>
      </c>
    </row>
    <row r="71" spans="2:9" ht="15" customHeight="1" x14ac:dyDescent="0.15">
      <c r="B71" t="s">
        <v>150</v>
      </c>
      <c r="C71" s="12">
        <v>9</v>
      </c>
      <c r="D71" s="8">
        <v>1.52</v>
      </c>
      <c r="E71" s="12">
        <v>5</v>
      </c>
      <c r="F71" s="8">
        <v>1.1299999999999999</v>
      </c>
      <c r="G71" s="12">
        <v>4</v>
      </c>
      <c r="H71" s="8">
        <v>2.67</v>
      </c>
      <c r="I71" s="12">
        <v>0</v>
      </c>
    </row>
    <row r="72" spans="2:9" ht="15" customHeight="1" x14ac:dyDescent="0.15">
      <c r="B72" t="s">
        <v>171</v>
      </c>
      <c r="C72" s="12">
        <v>9</v>
      </c>
      <c r="D72" s="8">
        <v>1.52</v>
      </c>
      <c r="E72" s="12">
        <v>9</v>
      </c>
      <c r="F72" s="8">
        <v>2.04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143</v>
      </c>
      <c r="C73" s="12">
        <v>9</v>
      </c>
      <c r="D73" s="8">
        <v>1.52</v>
      </c>
      <c r="E73" s="12">
        <v>7</v>
      </c>
      <c r="F73" s="8">
        <v>1.59</v>
      </c>
      <c r="G73" s="12">
        <v>2</v>
      </c>
      <c r="H73" s="8">
        <v>1.33</v>
      </c>
      <c r="I73" s="12">
        <v>0</v>
      </c>
    </row>
    <row r="75" spans="2:9" ht="15" customHeight="1" x14ac:dyDescent="0.15">
      <c r="B75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387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1</v>
      </c>
      <c r="D5" s="8">
        <v>0.13</v>
      </c>
      <c r="E5" s="12">
        <v>0</v>
      </c>
      <c r="F5" s="8">
        <v>0</v>
      </c>
      <c r="G5" s="12">
        <v>1</v>
      </c>
      <c r="H5" s="8">
        <v>0.62</v>
      </c>
      <c r="I5" s="12">
        <v>0</v>
      </c>
    </row>
    <row r="6" spans="2:9" ht="15" customHeight="1" x14ac:dyDescent="0.15">
      <c r="B6" t="s">
        <v>52</v>
      </c>
      <c r="C6" s="12">
        <v>131</v>
      </c>
      <c r="D6" s="8">
        <v>16.579999999999998</v>
      </c>
      <c r="E6" s="12">
        <v>106</v>
      </c>
      <c r="F6" s="8">
        <v>17.010000000000002</v>
      </c>
      <c r="G6" s="12">
        <v>25</v>
      </c>
      <c r="H6" s="8">
        <v>15.43</v>
      </c>
      <c r="I6" s="12">
        <v>0</v>
      </c>
    </row>
    <row r="7" spans="2:9" ht="15" customHeight="1" x14ac:dyDescent="0.15">
      <c r="B7" t="s">
        <v>53</v>
      </c>
      <c r="C7" s="12">
        <v>103</v>
      </c>
      <c r="D7" s="8">
        <v>13.04</v>
      </c>
      <c r="E7" s="12">
        <v>50</v>
      </c>
      <c r="F7" s="8">
        <v>8.0299999999999994</v>
      </c>
      <c r="G7" s="12">
        <v>52</v>
      </c>
      <c r="H7" s="8">
        <v>32.1</v>
      </c>
      <c r="I7" s="12">
        <v>1</v>
      </c>
    </row>
    <row r="8" spans="2:9" ht="15" customHeight="1" x14ac:dyDescent="0.15">
      <c r="B8" t="s">
        <v>54</v>
      </c>
      <c r="C8" s="12">
        <v>1</v>
      </c>
      <c r="D8" s="8">
        <v>0.13</v>
      </c>
      <c r="E8" s="12">
        <v>0</v>
      </c>
      <c r="F8" s="8">
        <v>0</v>
      </c>
      <c r="G8" s="12">
        <v>1</v>
      </c>
      <c r="H8" s="8">
        <v>0.62</v>
      </c>
      <c r="I8" s="12">
        <v>0</v>
      </c>
    </row>
    <row r="9" spans="2:9" ht="15" customHeight="1" x14ac:dyDescent="0.15">
      <c r="B9" t="s">
        <v>55</v>
      </c>
      <c r="C9" s="12">
        <v>3</v>
      </c>
      <c r="D9" s="8">
        <v>0.38</v>
      </c>
      <c r="E9" s="12">
        <v>0</v>
      </c>
      <c r="F9" s="8">
        <v>0</v>
      </c>
      <c r="G9" s="12">
        <v>3</v>
      </c>
      <c r="H9" s="8">
        <v>1.85</v>
      </c>
      <c r="I9" s="12">
        <v>0</v>
      </c>
    </row>
    <row r="10" spans="2:9" ht="15" customHeight="1" x14ac:dyDescent="0.15">
      <c r="B10" t="s">
        <v>56</v>
      </c>
      <c r="C10" s="12">
        <v>10</v>
      </c>
      <c r="D10" s="8">
        <v>1.27</v>
      </c>
      <c r="E10" s="12">
        <v>2</v>
      </c>
      <c r="F10" s="8">
        <v>0.32</v>
      </c>
      <c r="G10" s="12">
        <v>6</v>
      </c>
      <c r="H10" s="8">
        <v>3.7</v>
      </c>
      <c r="I10" s="12">
        <v>2</v>
      </c>
    </row>
    <row r="11" spans="2:9" ht="15" customHeight="1" x14ac:dyDescent="0.15">
      <c r="B11" t="s">
        <v>57</v>
      </c>
      <c r="C11" s="12">
        <v>218</v>
      </c>
      <c r="D11" s="8">
        <v>27.59</v>
      </c>
      <c r="E11" s="12">
        <v>164</v>
      </c>
      <c r="F11" s="8">
        <v>26.32</v>
      </c>
      <c r="G11" s="12">
        <v>54</v>
      </c>
      <c r="H11" s="8">
        <v>33.33</v>
      </c>
      <c r="I11" s="12">
        <v>0</v>
      </c>
    </row>
    <row r="12" spans="2:9" ht="15" customHeight="1" x14ac:dyDescent="0.15">
      <c r="B12" t="s">
        <v>58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59</v>
      </c>
      <c r="C13" s="12">
        <v>12</v>
      </c>
      <c r="D13" s="8">
        <v>1.52</v>
      </c>
      <c r="E13" s="12">
        <v>7</v>
      </c>
      <c r="F13" s="8">
        <v>1.1200000000000001</v>
      </c>
      <c r="G13" s="12">
        <v>5</v>
      </c>
      <c r="H13" s="8">
        <v>3.09</v>
      </c>
      <c r="I13" s="12">
        <v>0</v>
      </c>
    </row>
    <row r="14" spans="2:9" ht="15" customHeight="1" x14ac:dyDescent="0.15">
      <c r="B14" t="s">
        <v>60</v>
      </c>
      <c r="C14" s="12">
        <v>22</v>
      </c>
      <c r="D14" s="8">
        <v>2.78</v>
      </c>
      <c r="E14" s="12">
        <v>21</v>
      </c>
      <c r="F14" s="8">
        <v>3.37</v>
      </c>
      <c r="G14" s="12">
        <v>1</v>
      </c>
      <c r="H14" s="8">
        <v>0.62</v>
      </c>
      <c r="I14" s="12">
        <v>0</v>
      </c>
    </row>
    <row r="15" spans="2:9" ht="15" customHeight="1" x14ac:dyDescent="0.15">
      <c r="B15" t="s">
        <v>61</v>
      </c>
      <c r="C15" s="12">
        <v>156</v>
      </c>
      <c r="D15" s="8">
        <v>19.75</v>
      </c>
      <c r="E15" s="12">
        <v>151</v>
      </c>
      <c r="F15" s="8">
        <v>24.24</v>
      </c>
      <c r="G15" s="12">
        <v>5</v>
      </c>
      <c r="H15" s="8">
        <v>3.09</v>
      </c>
      <c r="I15" s="12">
        <v>0</v>
      </c>
    </row>
    <row r="16" spans="2:9" ht="15" customHeight="1" x14ac:dyDescent="0.15">
      <c r="B16" t="s">
        <v>62</v>
      </c>
      <c r="C16" s="12">
        <v>75</v>
      </c>
      <c r="D16" s="8">
        <v>9.49</v>
      </c>
      <c r="E16" s="12">
        <v>71</v>
      </c>
      <c r="F16" s="8">
        <v>11.4</v>
      </c>
      <c r="G16" s="12">
        <v>3</v>
      </c>
      <c r="H16" s="8">
        <v>1.85</v>
      </c>
      <c r="I16" s="12">
        <v>1</v>
      </c>
    </row>
    <row r="17" spans="2:9" ht="15" customHeight="1" x14ac:dyDescent="0.15">
      <c r="B17" t="s">
        <v>63</v>
      </c>
      <c r="C17" s="12">
        <v>31</v>
      </c>
      <c r="D17" s="8">
        <v>3.92</v>
      </c>
      <c r="E17" s="12">
        <v>29</v>
      </c>
      <c r="F17" s="8">
        <v>4.6500000000000004</v>
      </c>
      <c r="G17" s="12">
        <v>1</v>
      </c>
      <c r="H17" s="8">
        <v>0.62</v>
      </c>
      <c r="I17" s="12">
        <v>1</v>
      </c>
    </row>
    <row r="18" spans="2:9" ht="15" customHeight="1" x14ac:dyDescent="0.15">
      <c r="B18" t="s">
        <v>64</v>
      </c>
      <c r="C18" s="12">
        <v>17</v>
      </c>
      <c r="D18" s="8">
        <v>2.15</v>
      </c>
      <c r="E18" s="12">
        <v>14</v>
      </c>
      <c r="F18" s="8">
        <v>2.25</v>
      </c>
      <c r="G18" s="12">
        <v>3</v>
      </c>
      <c r="H18" s="8">
        <v>1.85</v>
      </c>
      <c r="I18" s="12">
        <v>0</v>
      </c>
    </row>
    <row r="19" spans="2:9" ht="15" customHeight="1" x14ac:dyDescent="0.15">
      <c r="B19" t="s">
        <v>65</v>
      </c>
      <c r="C19" s="12">
        <v>10</v>
      </c>
      <c r="D19" s="8">
        <v>1.27</v>
      </c>
      <c r="E19" s="12">
        <v>8</v>
      </c>
      <c r="F19" s="8">
        <v>1.28</v>
      </c>
      <c r="G19" s="12">
        <v>2</v>
      </c>
      <c r="H19" s="8">
        <v>1.23</v>
      </c>
      <c r="I19" s="12">
        <v>0</v>
      </c>
    </row>
    <row r="20" spans="2:9" ht="15" customHeight="1" x14ac:dyDescent="0.15">
      <c r="B20" s="9" t="s">
        <v>215</v>
      </c>
      <c r="C20" s="12">
        <f>SUM(LTBL_28585[総数／事業所数])</f>
        <v>790</v>
      </c>
      <c r="E20" s="12">
        <f>SUBTOTAL(109,LTBL_28585[個人／事業所数])</f>
        <v>623</v>
      </c>
      <c r="G20" s="12">
        <f>SUBTOTAL(109,LTBL_28585[法人／事業所数])</f>
        <v>162</v>
      </c>
      <c r="I20" s="12">
        <f>SUBTOTAL(109,LTBL_28585[法人以外の団体／事業所数])</f>
        <v>5</v>
      </c>
    </row>
    <row r="21" spans="2:9" ht="15" customHeight="1" x14ac:dyDescent="0.15">
      <c r="E21" s="11">
        <f>LTBL_28585[[#Totals],[個人／事業所数]]/LTBL_28585[[#Totals],[総数／事業所数]]</f>
        <v>0.78860759493670884</v>
      </c>
      <c r="G21" s="11">
        <f>LTBL_28585[[#Totals],[法人／事業所数]]/LTBL_28585[[#Totals],[総数／事業所数]]</f>
        <v>0.20506329113924052</v>
      </c>
      <c r="I21" s="11">
        <f>LTBL_28585[[#Totals],[法人以外の団体／事業所数]]/LTBL_28585[[#Totals],[総数／事業所数]]</f>
        <v>6.3291139240506328E-3</v>
      </c>
    </row>
    <row r="23" spans="2:9" ht="33" customHeight="1" x14ac:dyDescent="0.15">
      <c r="B23" t="s">
        <v>214</v>
      </c>
      <c r="C23" s="10" t="s">
        <v>67</v>
      </c>
      <c r="D23" s="10" t="s">
        <v>221</v>
      </c>
      <c r="E23" s="10" t="s">
        <v>69</v>
      </c>
      <c r="F23" s="10" t="s">
        <v>388</v>
      </c>
      <c r="G23" s="10" t="s">
        <v>71</v>
      </c>
      <c r="H23" s="10" t="s">
        <v>389</v>
      </c>
      <c r="I23" s="10" t="s">
        <v>73</v>
      </c>
    </row>
    <row r="24" spans="2:9" ht="15" customHeight="1" x14ac:dyDescent="0.15">
      <c r="B24" t="s">
        <v>217</v>
      </c>
      <c r="C24">
        <v>3</v>
      </c>
      <c r="D24" t="s">
        <v>216</v>
      </c>
      <c r="E24">
        <v>0</v>
      </c>
      <c r="F24" t="s">
        <v>218</v>
      </c>
      <c r="G24">
        <v>3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5</v>
      </c>
      <c r="D25" t="s">
        <v>216</v>
      </c>
      <c r="E25">
        <v>0</v>
      </c>
      <c r="F25" t="s">
        <v>218</v>
      </c>
      <c r="G25">
        <v>4</v>
      </c>
      <c r="H25" t="s">
        <v>219</v>
      </c>
      <c r="I25">
        <v>1</v>
      </c>
    </row>
    <row r="28" spans="2:9" ht="33" customHeight="1" x14ac:dyDescent="0.15">
      <c r="B28" t="s">
        <v>275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108</v>
      </c>
      <c r="C29" s="12">
        <v>100</v>
      </c>
      <c r="D29" s="8">
        <v>12.66</v>
      </c>
      <c r="E29" s="12">
        <v>96</v>
      </c>
      <c r="F29" s="8">
        <v>15.41</v>
      </c>
      <c r="G29" s="12">
        <v>4</v>
      </c>
      <c r="H29" s="8">
        <v>2.4700000000000002</v>
      </c>
      <c r="I29" s="12">
        <v>0</v>
      </c>
    </row>
    <row r="30" spans="2:9" ht="15" customHeight="1" x14ac:dyDescent="0.15">
      <c r="B30" t="s">
        <v>84</v>
      </c>
      <c r="C30" s="12">
        <v>75</v>
      </c>
      <c r="D30" s="8">
        <v>9.49</v>
      </c>
      <c r="E30" s="12">
        <v>58</v>
      </c>
      <c r="F30" s="8">
        <v>9.31</v>
      </c>
      <c r="G30" s="12">
        <v>17</v>
      </c>
      <c r="H30" s="8">
        <v>10.49</v>
      </c>
      <c r="I30" s="12">
        <v>0</v>
      </c>
    </row>
    <row r="31" spans="2:9" ht="15" customHeight="1" x14ac:dyDescent="0.15">
      <c r="B31" t="s">
        <v>82</v>
      </c>
      <c r="C31" s="12">
        <v>73</v>
      </c>
      <c r="D31" s="8">
        <v>9.24</v>
      </c>
      <c r="E31" s="12">
        <v>53</v>
      </c>
      <c r="F31" s="8">
        <v>8.51</v>
      </c>
      <c r="G31" s="12">
        <v>20</v>
      </c>
      <c r="H31" s="8">
        <v>12.35</v>
      </c>
      <c r="I31" s="12">
        <v>0</v>
      </c>
    </row>
    <row r="32" spans="2:9" ht="15" customHeight="1" x14ac:dyDescent="0.15">
      <c r="B32" t="s">
        <v>90</v>
      </c>
      <c r="C32" s="12">
        <v>68</v>
      </c>
      <c r="D32" s="8">
        <v>8.61</v>
      </c>
      <c r="E32" s="12">
        <v>66</v>
      </c>
      <c r="F32" s="8">
        <v>10.59</v>
      </c>
      <c r="G32" s="12">
        <v>2</v>
      </c>
      <c r="H32" s="8">
        <v>1.23</v>
      </c>
      <c r="I32" s="12">
        <v>0</v>
      </c>
    </row>
    <row r="33" spans="2:9" ht="15" customHeight="1" x14ac:dyDescent="0.15">
      <c r="B33" t="s">
        <v>74</v>
      </c>
      <c r="C33" s="12">
        <v>66</v>
      </c>
      <c r="D33" s="8">
        <v>8.35</v>
      </c>
      <c r="E33" s="12">
        <v>46</v>
      </c>
      <c r="F33" s="8">
        <v>7.38</v>
      </c>
      <c r="G33" s="12">
        <v>20</v>
      </c>
      <c r="H33" s="8">
        <v>12.35</v>
      </c>
      <c r="I33" s="12">
        <v>0</v>
      </c>
    </row>
    <row r="34" spans="2:9" ht="15" customHeight="1" x14ac:dyDescent="0.15">
      <c r="B34" t="s">
        <v>107</v>
      </c>
      <c r="C34" s="12">
        <v>60</v>
      </c>
      <c r="D34" s="8">
        <v>7.59</v>
      </c>
      <c r="E34" s="12">
        <v>27</v>
      </c>
      <c r="F34" s="8">
        <v>4.33</v>
      </c>
      <c r="G34" s="12">
        <v>32</v>
      </c>
      <c r="H34" s="8">
        <v>19.75</v>
      </c>
      <c r="I34" s="12">
        <v>1</v>
      </c>
    </row>
    <row r="35" spans="2:9" ht="15" customHeight="1" x14ac:dyDescent="0.15">
      <c r="B35" t="s">
        <v>89</v>
      </c>
      <c r="C35" s="12">
        <v>50</v>
      </c>
      <c r="D35" s="8">
        <v>6.33</v>
      </c>
      <c r="E35" s="12">
        <v>49</v>
      </c>
      <c r="F35" s="8">
        <v>7.87</v>
      </c>
      <c r="G35" s="12">
        <v>1</v>
      </c>
      <c r="H35" s="8">
        <v>0.62</v>
      </c>
      <c r="I35" s="12">
        <v>0</v>
      </c>
    </row>
    <row r="36" spans="2:9" ht="15" customHeight="1" x14ac:dyDescent="0.15">
      <c r="B36" t="s">
        <v>75</v>
      </c>
      <c r="C36" s="12">
        <v>43</v>
      </c>
      <c r="D36" s="8">
        <v>5.44</v>
      </c>
      <c r="E36" s="12">
        <v>39</v>
      </c>
      <c r="F36" s="8">
        <v>6.26</v>
      </c>
      <c r="G36" s="12">
        <v>4</v>
      </c>
      <c r="H36" s="8">
        <v>2.4700000000000002</v>
      </c>
      <c r="I36" s="12">
        <v>0</v>
      </c>
    </row>
    <row r="37" spans="2:9" ht="15" customHeight="1" x14ac:dyDescent="0.15">
      <c r="B37" t="s">
        <v>92</v>
      </c>
      <c r="C37" s="12">
        <v>31</v>
      </c>
      <c r="D37" s="8">
        <v>3.92</v>
      </c>
      <c r="E37" s="12">
        <v>29</v>
      </c>
      <c r="F37" s="8">
        <v>4.6500000000000004</v>
      </c>
      <c r="G37" s="12">
        <v>1</v>
      </c>
      <c r="H37" s="8">
        <v>0.62</v>
      </c>
      <c r="I37" s="12">
        <v>1</v>
      </c>
    </row>
    <row r="38" spans="2:9" ht="15" customHeight="1" x14ac:dyDescent="0.15">
      <c r="B38" t="s">
        <v>83</v>
      </c>
      <c r="C38" s="12">
        <v>26</v>
      </c>
      <c r="D38" s="8">
        <v>3.29</v>
      </c>
      <c r="E38" s="12">
        <v>22</v>
      </c>
      <c r="F38" s="8">
        <v>3.53</v>
      </c>
      <c r="G38" s="12">
        <v>4</v>
      </c>
      <c r="H38" s="8">
        <v>2.4700000000000002</v>
      </c>
      <c r="I38" s="12">
        <v>0</v>
      </c>
    </row>
    <row r="39" spans="2:9" ht="15" customHeight="1" x14ac:dyDescent="0.15">
      <c r="B39" t="s">
        <v>76</v>
      </c>
      <c r="C39" s="12">
        <v>22</v>
      </c>
      <c r="D39" s="8">
        <v>2.78</v>
      </c>
      <c r="E39" s="12">
        <v>21</v>
      </c>
      <c r="F39" s="8">
        <v>3.37</v>
      </c>
      <c r="G39" s="12">
        <v>1</v>
      </c>
      <c r="H39" s="8">
        <v>0.62</v>
      </c>
      <c r="I39" s="12">
        <v>0</v>
      </c>
    </row>
    <row r="40" spans="2:9" ht="15" customHeight="1" x14ac:dyDescent="0.15">
      <c r="B40" t="s">
        <v>81</v>
      </c>
      <c r="C40" s="12">
        <v>17</v>
      </c>
      <c r="D40" s="8">
        <v>2.15</v>
      </c>
      <c r="E40" s="12">
        <v>15</v>
      </c>
      <c r="F40" s="8">
        <v>2.41</v>
      </c>
      <c r="G40" s="12">
        <v>2</v>
      </c>
      <c r="H40" s="8">
        <v>1.23</v>
      </c>
      <c r="I40" s="12">
        <v>0</v>
      </c>
    </row>
    <row r="41" spans="2:9" ht="15" customHeight="1" x14ac:dyDescent="0.15">
      <c r="B41" t="s">
        <v>93</v>
      </c>
      <c r="C41" s="12">
        <v>14</v>
      </c>
      <c r="D41" s="8">
        <v>1.77</v>
      </c>
      <c r="E41" s="12">
        <v>14</v>
      </c>
      <c r="F41" s="8">
        <v>2.25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88</v>
      </c>
      <c r="C42" s="12">
        <v>12</v>
      </c>
      <c r="D42" s="8">
        <v>1.52</v>
      </c>
      <c r="E42" s="12">
        <v>12</v>
      </c>
      <c r="F42" s="8">
        <v>1.93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96</v>
      </c>
      <c r="C43" s="12">
        <v>10</v>
      </c>
      <c r="D43" s="8">
        <v>1.27</v>
      </c>
      <c r="E43" s="12">
        <v>7</v>
      </c>
      <c r="F43" s="8">
        <v>1.1200000000000001</v>
      </c>
      <c r="G43" s="12">
        <v>3</v>
      </c>
      <c r="H43" s="8">
        <v>1.85</v>
      </c>
      <c r="I43" s="12">
        <v>0</v>
      </c>
    </row>
    <row r="44" spans="2:9" ht="15" customHeight="1" x14ac:dyDescent="0.15">
      <c r="B44" t="s">
        <v>87</v>
      </c>
      <c r="C44" s="12">
        <v>9</v>
      </c>
      <c r="D44" s="8">
        <v>1.1399999999999999</v>
      </c>
      <c r="E44" s="12">
        <v>8</v>
      </c>
      <c r="F44" s="8">
        <v>1.28</v>
      </c>
      <c r="G44" s="12">
        <v>1</v>
      </c>
      <c r="H44" s="8">
        <v>0.62</v>
      </c>
      <c r="I44" s="12">
        <v>0</v>
      </c>
    </row>
    <row r="45" spans="2:9" ht="15" customHeight="1" x14ac:dyDescent="0.15">
      <c r="B45" t="s">
        <v>78</v>
      </c>
      <c r="C45" s="12">
        <v>7</v>
      </c>
      <c r="D45" s="8">
        <v>0.89</v>
      </c>
      <c r="E45" s="12">
        <v>2</v>
      </c>
      <c r="F45" s="8">
        <v>0.32</v>
      </c>
      <c r="G45" s="12">
        <v>5</v>
      </c>
      <c r="H45" s="8">
        <v>3.09</v>
      </c>
      <c r="I45" s="12">
        <v>0</v>
      </c>
    </row>
    <row r="46" spans="2:9" ht="15" customHeight="1" x14ac:dyDescent="0.15">
      <c r="B46" t="s">
        <v>106</v>
      </c>
      <c r="C46" s="12">
        <v>7</v>
      </c>
      <c r="D46" s="8">
        <v>0.89</v>
      </c>
      <c r="E46" s="12">
        <v>6</v>
      </c>
      <c r="F46" s="8">
        <v>0.96</v>
      </c>
      <c r="G46" s="12">
        <v>1</v>
      </c>
      <c r="H46" s="8">
        <v>0.62</v>
      </c>
      <c r="I46" s="12">
        <v>0</v>
      </c>
    </row>
    <row r="47" spans="2:9" ht="15" customHeight="1" x14ac:dyDescent="0.15">
      <c r="B47" t="s">
        <v>77</v>
      </c>
      <c r="C47" s="12">
        <v>6</v>
      </c>
      <c r="D47" s="8">
        <v>0.76</v>
      </c>
      <c r="E47" s="12">
        <v>4</v>
      </c>
      <c r="F47" s="8">
        <v>0.64</v>
      </c>
      <c r="G47" s="12">
        <v>2</v>
      </c>
      <c r="H47" s="8">
        <v>1.23</v>
      </c>
      <c r="I47" s="12">
        <v>0</v>
      </c>
    </row>
    <row r="48" spans="2:9" ht="15" customHeight="1" x14ac:dyDescent="0.15">
      <c r="B48" t="s">
        <v>116</v>
      </c>
      <c r="C48" s="12">
        <v>6</v>
      </c>
      <c r="D48" s="8">
        <v>0.76</v>
      </c>
      <c r="E48" s="12">
        <v>3</v>
      </c>
      <c r="F48" s="8">
        <v>0.48</v>
      </c>
      <c r="G48" s="12">
        <v>3</v>
      </c>
      <c r="H48" s="8">
        <v>1.85</v>
      </c>
      <c r="I48" s="12">
        <v>0</v>
      </c>
    </row>
    <row r="49" spans="2:9" ht="15" customHeight="1" x14ac:dyDescent="0.15">
      <c r="B49" t="s">
        <v>79</v>
      </c>
      <c r="C49" s="12">
        <v>6</v>
      </c>
      <c r="D49" s="8">
        <v>0.76</v>
      </c>
      <c r="E49" s="12">
        <v>4</v>
      </c>
      <c r="F49" s="8">
        <v>0.64</v>
      </c>
      <c r="G49" s="12">
        <v>2</v>
      </c>
      <c r="H49" s="8">
        <v>1.23</v>
      </c>
      <c r="I49" s="12">
        <v>0</v>
      </c>
    </row>
    <row r="50" spans="2:9" ht="15" customHeight="1" x14ac:dyDescent="0.15">
      <c r="B50" t="s">
        <v>86</v>
      </c>
      <c r="C50" s="12">
        <v>6</v>
      </c>
      <c r="D50" s="8">
        <v>0.76</v>
      </c>
      <c r="E50" s="12">
        <v>4</v>
      </c>
      <c r="F50" s="8">
        <v>0.64</v>
      </c>
      <c r="G50" s="12">
        <v>2</v>
      </c>
      <c r="H50" s="8">
        <v>1.23</v>
      </c>
      <c r="I50" s="12">
        <v>0</v>
      </c>
    </row>
    <row r="51" spans="2:9" ht="15" customHeight="1" x14ac:dyDescent="0.15">
      <c r="B51" t="s">
        <v>105</v>
      </c>
      <c r="C51" s="12">
        <v>6</v>
      </c>
      <c r="D51" s="8">
        <v>0.76</v>
      </c>
      <c r="E51" s="12">
        <v>6</v>
      </c>
      <c r="F51" s="8">
        <v>0.96</v>
      </c>
      <c r="G51" s="12">
        <v>0</v>
      </c>
      <c r="H51" s="8">
        <v>0</v>
      </c>
      <c r="I51" s="12">
        <v>0</v>
      </c>
    </row>
    <row r="54" spans="2:9" ht="33" customHeight="1" x14ac:dyDescent="0.15">
      <c r="B54" t="s">
        <v>390</v>
      </c>
      <c r="C54" s="10" t="s">
        <v>67</v>
      </c>
      <c r="D54" s="10" t="s">
        <v>68</v>
      </c>
      <c r="E54" s="10" t="s">
        <v>69</v>
      </c>
      <c r="F54" s="10" t="s">
        <v>70</v>
      </c>
      <c r="G54" s="10" t="s">
        <v>71</v>
      </c>
      <c r="H54" s="10" t="s">
        <v>72</v>
      </c>
      <c r="I54" s="10" t="s">
        <v>73</v>
      </c>
    </row>
    <row r="55" spans="2:9" ht="15" customHeight="1" x14ac:dyDescent="0.15">
      <c r="B55" t="s">
        <v>170</v>
      </c>
      <c r="C55" s="12">
        <v>96</v>
      </c>
      <c r="D55" s="8">
        <v>12.15</v>
      </c>
      <c r="E55" s="12">
        <v>92</v>
      </c>
      <c r="F55" s="8">
        <v>14.77</v>
      </c>
      <c r="G55" s="12">
        <v>4</v>
      </c>
      <c r="H55" s="8">
        <v>2.4700000000000002</v>
      </c>
      <c r="I55" s="12">
        <v>0</v>
      </c>
    </row>
    <row r="56" spans="2:9" ht="15" customHeight="1" x14ac:dyDescent="0.15">
      <c r="B56" t="s">
        <v>197</v>
      </c>
      <c r="C56" s="12">
        <v>52</v>
      </c>
      <c r="D56" s="8">
        <v>6.58</v>
      </c>
      <c r="E56" s="12">
        <v>20</v>
      </c>
      <c r="F56" s="8">
        <v>3.21</v>
      </c>
      <c r="G56" s="12">
        <v>32</v>
      </c>
      <c r="H56" s="8">
        <v>19.75</v>
      </c>
      <c r="I56" s="12">
        <v>0</v>
      </c>
    </row>
    <row r="57" spans="2:9" ht="15" customHeight="1" x14ac:dyDescent="0.15">
      <c r="B57" t="s">
        <v>141</v>
      </c>
      <c r="C57" s="12">
        <v>33</v>
      </c>
      <c r="D57" s="8">
        <v>4.18</v>
      </c>
      <c r="E57" s="12">
        <v>33</v>
      </c>
      <c r="F57" s="8">
        <v>5.3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167</v>
      </c>
      <c r="C58" s="12">
        <v>32</v>
      </c>
      <c r="D58" s="8">
        <v>4.05</v>
      </c>
      <c r="E58" s="12">
        <v>30</v>
      </c>
      <c r="F58" s="8">
        <v>4.82</v>
      </c>
      <c r="G58" s="12">
        <v>2</v>
      </c>
      <c r="H58" s="8">
        <v>1.23</v>
      </c>
      <c r="I58" s="12">
        <v>0</v>
      </c>
    </row>
    <row r="59" spans="2:9" ht="15" customHeight="1" x14ac:dyDescent="0.15">
      <c r="B59" t="s">
        <v>140</v>
      </c>
      <c r="C59" s="12">
        <v>24</v>
      </c>
      <c r="D59" s="8">
        <v>3.04</v>
      </c>
      <c r="E59" s="12">
        <v>24</v>
      </c>
      <c r="F59" s="8">
        <v>3.85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199</v>
      </c>
      <c r="C60" s="12">
        <v>23</v>
      </c>
      <c r="D60" s="8">
        <v>2.91</v>
      </c>
      <c r="E60" s="12">
        <v>11</v>
      </c>
      <c r="F60" s="8">
        <v>1.77</v>
      </c>
      <c r="G60" s="12">
        <v>12</v>
      </c>
      <c r="H60" s="8">
        <v>7.41</v>
      </c>
      <c r="I60" s="12">
        <v>0</v>
      </c>
    </row>
    <row r="61" spans="2:9" ht="15" customHeight="1" x14ac:dyDescent="0.15">
      <c r="B61" t="s">
        <v>155</v>
      </c>
      <c r="C61" s="12">
        <v>20</v>
      </c>
      <c r="D61" s="8">
        <v>2.5299999999999998</v>
      </c>
      <c r="E61" s="12">
        <v>20</v>
      </c>
      <c r="F61" s="8">
        <v>3.21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143</v>
      </c>
      <c r="C62" s="12">
        <v>19</v>
      </c>
      <c r="D62" s="8">
        <v>2.41</v>
      </c>
      <c r="E62" s="12">
        <v>19</v>
      </c>
      <c r="F62" s="8">
        <v>3.05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132</v>
      </c>
      <c r="C63" s="12">
        <v>18</v>
      </c>
      <c r="D63" s="8">
        <v>2.2799999999999998</v>
      </c>
      <c r="E63" s="12">
        <v>17</v>
      </c>
      <c r="F63" s="8">
        <v>2.73</v>
      </c>
      <c r="G63" s="12">
        <v>1</v>
      </c>
      <c r="H63" s="8">
        <v>0.62</v>
      </c>
      <c r="I63" s="12">
        <v>0</v>
      </c>
    </row>
    <row r="64" spans="2:9" ht="15" customHeight="1" x14ac:dyDescent="0.15">
      <c r="B64" t="s">
        <v>125</v>
      </c>
      <c r="C64" s="12">
        <v>17</v>
      </c>
      <c r="D64" s="8">
        <v>2.15</v>
      </c>
      <c r="E64" s="12">
        <v>6</v>
      </c>
      <c r="F64" s="8">
        <v>0.96</v>
      </c>
      <c r="G64" s="12">
        <v>11</v>
      </c>
      <c r="H64" s="8">
        <v>6.79</v>
      </c>
      <c r="I64" s="12">
        <v>0</v>
      </c>
    </row>
    <row r="65" spans="2:9" ht="15" customHeight="1" x14ac:dyDescent="0.15">
      <c r="B65" t="s">
        <v>172</v>
      </c>
      <c r="C65" s="12">
        <v>17</v>
      </c>
      <c r="D65" s="8">
        <v>2.15</v>
      </c>
      <c r="E65" s="12">
        <v>6</v>
      </c>
      <c r="F65" s="8">
        <v>0.96</v>
      </c>
      <c r="G65" s="12">
        <v>11</v>
      </c>
      <c r="H65" s="8">
        <v>6.79</v>
      </c>
      <c r="I65" s="12">
        <v>0</v>
      </c>
    </row>
    <row r="66" spans="2:9" ht="15" customHeight="1" x14ac:dyDescent="0.15">
      <c r="B66" t="s">
        <v>129</v>
      </c>
      <c r="C66" s="12">
        <v>16</v>
      </c>
      <c r="D66" s="8">
        <v>2.0299999999999998</v>
      </c>
      <c r="E66" s="12">
        <v>13</v>
      </c>
      <c r="F66" s="8">
        <v>2.09</v>
      </c>
      <c r="G66" s="12">
        <v>3</v>
      </c>
      <c r="H66" s="8">
        <v>1.85</v>
      </c>
      <c r="I66" s="12">
        <v>0</v>
      </c>
    </row>
    <row r="67" spans="2:9" ht="15" customHeight="1" x14ac:dyDescent="0.15">
      <c r="B67" t="s">
        <v>127</v>
      </c>
      <c r="C67" s="12">
        <v>15</v>
      </c>
      <c r="D67" s="8">
        <v>1.9</v>
      </c>
      <c r="E67" s="12">
        <v>14</v>
      </c>
      <c r="F67" s="8">
        <v>2.25</v>
      </c>
      <c r="G67" s="12">
        <v>1</v>
      </c>
      <c r="H67" s="8">
        <v>0.62</v>
      </c>
      <c r="I67" s="12">
        <v>0</v>
      </c>
    </row>
    <row r="68" spans="2:9" ht="15" customHeight="1" x14ac:dyDescent="0.15">
      <c r="B68" t="s">
        <v>171</v>
      </c>
      <c r="C68" s="12">
        <v>15</v>
      </c>
      <c r="D68" s="8">
        <v>1.9</v>
      </c>
      <c r="E68" s="12">
        <v>15</v>
      </c>
      <c r="F68" s="8">
        <v>2.41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126</v>
      </c>
      <c r="C69" s="12">
        <v>13</v>
      </c>
      <c r="D69" s="8">
        <v>1.65</v>
      </c>
      <c r="E69" s="12">
        <v>9</v>
      </c>
      <c r="F69" s="8">
        <v>1.44</v>
      </c>
      <c r="G69" s="12">
        <v>4</v>
      </c>
      <c r="H69" s="8">
        <v>2.4700000000000002</v>
      </c>
      <c r="I69" s="12">
        <v>0</v>
      </c>
    </row>
    <row r="70" spans="2:9" ht="15" customHeight="1" x14ac:dyDescent="0.15">
      <c r="B70" t="s">
        <v>131</v>
      </c>
      <c r="C70" s="12">
        <v>13</v>
      </c>
      <c r="D70" s="8">
        <v>1.65</v>
      </c>
      <c r="E70" s="12">
        <v>12</v>
      </c>
      <c r="F70" s="8">
        <v>1.93</v>
      </c>
      <c r="G70" s="12">
        <v>1</v>
      </c>
      <c r="H70" s="8">
        <v>0.62</v>
      </c>
      <c r="I70" s="12">
        <v>0</v>
      </c>
    </row>
    <row r="71" spans="2:9" ht="15" customHeight="1" x14ac:dyDescent="0.15">
      <c r="B71" t="s">
        <v>144</v>
      </c>
      <c r="C71" s="12">
        <v>12</v>
      </c>
      <c r="D71" s="8">
        <v>1.52</v>
      </c>
      <c r="E71" s="12">
        <v>12</v>
      </c>
      <c r="F71" s="8">
        <v>1.93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130</v>
      </c>
      <c r="C72" s="12">
        <v>11</v>
      </c>
      <c r="D72" s="8">
        <v>1.39</v>
      </c>
      <c r="E72" s="12">
        <v>7</v>
      </c>
      <c r="F72" s="8">
        <v>1.1200000000000001</v>
      </c>
      <c r="G72" s="12">
        <v>4</v>
      </c>
      <c r="H72" s="8">
        <v>2.4700000000000002</v>
      </c>
      <c r="I72" s="12">
        <v>0</v>
      </c>
    </row>
    <row r="73" spans="2:9" ht="15" customHeight="1" x14ac:dyDescent="0.15">
      <c r="B73" t="s">
        <v>159</v>
      </c>
      <c r="C73" s="12">
        <v>11</v>
      </c>
      <c r="D73" s="8">
        <v>1.39</v>
      </c>
      <c r="E73" s="12">
        <v>11</v>
      </c>
      <c r="F73" s="8">
        <v>1.77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142</v>
      </c>
      <c r="C74" s="12">
        <v>11</v>
      </c>
      <c r="D74" s="8">
        <v>1.39</v>
      </c>
      <c r="E74" s="12">
        <v>10</v>
      </c>
      <c r="F74" s="8">
        <v>1.61</v>
      </c>
      <c r="G74" s="12">
        <v>1</v>
      </c>
      <c r="H74" s="8">
        <v>0.62</v>
      </c>
      <c r="I74" s="12">
        <v>0</v>
      </c>
    </row>
    <row r="76" spans="2:9" ht="15" customHeight="1" x14ac:dyDescent="0.15">
      <c r="B76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391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90</v>
      </c>
      <c r="D6" s="8">
        <v>19.57</v>
      </c>
      <c r="E6" s="12">
        <v>50</v>
      </c>
      <c r="F6" s="8">
        <v>14.53</v>
      </c>
      <c r="G6" s="12">
        <v>40</v>
      </c>
      <c r="H6" s="8">
        <v>35.4</v>
      </c>
      <c r="I6" s="12">
        <v>0</v>
      </c>
    </row>
    <row r="7" spans="2:9" ht="15" customHeight="1" x14ac:dyDescent="0.15">
      <c r="B7" t="s">
        <v>53</v>
      </c>
      <c r="C7" s="12">
        <v>31</v>
      </c>
      <c r="D7" s="8">
        <v>6.74</v>
      </c>
      <c r="E7" s="12">
        <v>21</v>
      </c>
      <c r="F7" s="8">
        <v>6.1</v>
      </c>
      <c r="G7" s="12">
        <v>10</v>
      </c>
      <c r="H7" s="8">
        <v>8.85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1</v>
      </c>
      <c r="D9" s="8">
        <v>0.22</v>
      </c>
      <c r="E9" s="12">
        <v>0</v>
      </c>
      <c r="F9" s="8">
        <v>0</v>
      </c>
      <c r="G9" s="12">
        <v>1</v>
      </c>
      <c r="H9" s="8">
        <v>0.88</v>
      </c>
      <c r="I9" s="12">
        <v>0</v>
      </c>
    </row>
    <row r="10" spans="2:9" ht="15" customHeight="1" x14ac:dyDescent="0.15">
      <c r="B10" t="s">
        <v>56</v>
      </c>
      <c r="C10" s="12">
        <v>7</v>
      </c>
      <c r="D10" s="8">
        <v>1.52</v>
      </c>
      <c r="E10" s="12">
        <v>4</v>
      </c>
      <c r="F10" s="8">
        <v>1.1599999999999999</v>
      </c>
      <c r="G10" s="12">
        <v>1</v>
      </c>
      <c r="H10" s="8">
        <v>0.88</v>
      </c>
      <c r="I10" s="12">
        <v>2</v>
      </c>
    </row>
    <row r="11" spans="2:9" ht="15" customHeight="1" x14ac:dyDescent="0.15">
      <c r="B11" t="s">
        <v>57</v>
      </c>
      <c r="C11" s="12">
        <v>132</v>
      </c>
      <c r="D11" s="8">
        <v>28.7</v>
      </c>
      <c r="E11" s="12">
        <v>98</v>
      </c>
      <c r="F11" s="8">
        <v>28.49</v>
      </c>
      <c r="G11" s="12">
        <v>34</v>
      </c>
      <c r="H11" s="8">
        <v>30.09</v>
      </c>
      <c r="I11" s="12">
        <v>0</v>
      </c>
    </row>
    <row r="12" spans="2:9" ht="15" customHeight="1" x14ac:dyDescent="0.15">
      <c r="B12" t="s">
        <v>58</v>
      </c>
      <c r="C12" s="12">
        <v>1</v>
      </c>
      <c r="D12" s="8">
        <v>0.22</v>
      </c>
      <c r="E12" s="12">
        <v>0</v>
      </c>
      <c r="F12" s="8">
        <v>0</v>
      </c>
      <c r="G12" s="12">
        <v>1</v>
      </c>
      <c r="H12" s="8">
        <v>0.88</v>
      </c>
      <c r="I12" s="12">
        <v>0</v>
      </c>
    </row>
    <row r="13" spans="2:9" ht="15" customHeight="1" x14ac:dyDescent="0.15">
      <c r="B13" t="s">
        <v>59</v>
      </c>
      <c r="C13" s="12">
        <v>19</v>
      </c>
      <c r="D13" s="8">
        <v>4.13</v>
      </c>
      <c r="E13" s="12">
        <v>12</v>
      </c>
      <c r="F13" s="8">
        <v>3.49</v>
      </c>
      <c r="G13" s="12">
        <v>7</v>
      </c>
      <c r="H13" s="8">
        <v>6.19</v>
      </c>
      <c r="I13" s="12">
        <v>0</v>
      </c>
    </row>
    <row r="14" spans="2:9" ht="15" customHeight="1" x14ac:dyDescent="0.15">
      <c r="B14" t="s">
        <v>60</v>
      </c>
      <c r="C14" s="12">
        <v>15</v>
      </c>
      <c r="D14" s="8">
        <v>3.26</v>
      </c>
      <c r="E14" s="12">
        <v>13</v>
      </c>
      <c r="F14" s="8">
        <v>3.78</v>
      </c>
      <c r="G14" s="12">
        <v>2</v>
      </c>
      <c r="H14" s="8">
        <v>1.77</v>
      </c>
      <c r="I14" s="12">
        <v>0</v>
      </c>
    </row>
    <row r="15" spans="2:9" ht="15" customHeight="1" x14ac:dyDescent="0.15">
      <c r="B15" t="s">
        <v>61</v>
      </c>
      <c r="C15" s="12">
        <v>79</v>
      </c>
      <c r="D15" s="8">
        <v>17.170000000000002</v>
      </c>
      <c r="E15" s="12">
        <v>71</v>
      </c>
      <c r="F15" s="8">
        <v>20.64</v>
      </c>
      <c r="G15" s="12">
        <v>8</v>
      </c>
      <c r="H15" s="8">
        <v>7.08</v>
      </c>
      <c r="I15" s="12">
        <v>0</v>
      </c>
    </row>
    <row r="16" spans="2:9" ht="15" customHeight="1" x14ac:dyDescent="0.15">
      <c r="B16" t="s">
        <v>62</v>
      </c>
      <c r="C16" s="12">
        <v>53</v>
      </c>
      <c r="D16" s="8">
        <v>11.52</v>
      </c>
      <c r="E16" s="12">
        <v>50</v>
      </c>
      <c r="F16" s="8">
        <v>14.53</v>
      </c>
      <c r="G16" s="12">
        <v>2</v>
      </c>
      <c r="H16" s="8">
        <v>1.77</v>
      </c>
      <c r="I16" s="12">
        <v>1</v>
      </c>
    </row>
    <row r="17" spans="2:9" ht="15" customHeight="1" x14ac:dyDescent="0.15">
      <c r="B17" t="s">
        <v>63</v>
      </c>
      <c r="C17" s="12">
        <v>9</v>
      </c>
      <c r="D17" s="8">
        <v>1.96</v>
      </c>
      <c r="E17" s="12">
        <v>8</v>
      </c>
      <c r="F17" s="8">
        <v>2.33</v>
      </c>
      <c r="G17" s="12">
        <v>1</v>
      </c>
      <c r="H17" s="8">
        <v>0.88</v>
      </c>
      <c r="I17" s="12">
        <v>0</v>
      </c>
    </row>
    <row r="18" spans="2:9" ht="15" customHeight="1" x14ac:dyDescent="0.15">
      <c r="B18" t="s">
        <v>64</v>
      </c>
      <c r="C18" s="12">
        <v>9</v>
      </c>
      <c r="D18" s="8">
        <v>1.96</v>
      </c>
      <c r="E18" s="12">
        <v>7</v>
      </c>
      <c r="F18" s="8">
        <v>2.0299999999999998</v>
      </c>
      <c r="G18" s="12">
        <v>2</v>
      </c>
      <c r="H18" s="8">
        <v>1.77</v>
      </c>
      <c r="I18" s="12">
        <v>0</v>
      </c>
    </row>
    <row r="19" spans="2:9" ht="15" customHeight="1" x14ac:dyDescent="0.15">
      <c r="B19" t="s">
        <v>65</v>
      </c>
      <c r="C19" s="12">
        <v>14</v>
      </c>
      <c r="D19" s="8">
        <v>3.04</v>
      </c>
      <c r="E19" s="12">
        <v>10</v>
      </c>
      <c r="F19" s="8">
        <v>2.91</v>
      </c>
      <c r="G19" s="12">
        <v>4</v>
      </c>
      <c r="H19" s="8">
        <v>3.54</v>
      </c>
      <c r="I19" s="12">
        <v>0</v>
      </c>
    </row>
    <row r="20" spans="2:9" ht="15" customHeight="1" x14ac:dyDescent="0.15">
      <c r="B20" s="9" t="s">
        <v>215</v>
      </c>
      <c r="C20" s="12">
        <f>SUM(LTBL_28586[総数／事業所数])</f>
        <v>460</v>
      </c>
      <c r="E20" s="12">
        <f>SUBTOTAL(109,LTBL_28586[個人／事業所数])</f>
        <v>344</v>
      </c>
      <c r="G20" s="12">
        <f>SUBTOTAL(109,LTBL_28586[法人／事業所数])</f>
        <v>113</v>
      </c>
      <c r="I20" s="12">
        <f>SUBTOTAL(109,LTBL_28586[法人以外の団体／事業所数])</f>
        <v>3</v>
      </c>
    </row>
    <row r="21" spans="2:9" ht="15" customHeight="1" x14ac:dyDescent="0.15">
      <c r="E21" s="11">
        <f>LTBL_28586[[#Totals],[個人／事業所数]]/LTBL_28586[[#Totals],[総数／事業所数]]</f>
        <v>0.74782608695652175</v>
      </c>
      <c r="G21" s="11">
        <f>LTBL_28586[[#Totals],[法人／事業所数]]/LTBL_28586[[#Totals],[総数／事業所数]]</f>
        <v>0.24565217391304348</v>
      </c>
      <c r="I21" s="11">
        <f>LTBL_28586[[#Totals],[法人以外の団体／事業所数]]/LTBL_28586[[#Totals],[総数／事業所数]]</f>
        <v>6.5217391304347823E-3</v>
      </c>
    </row>
    <row r="23" spans="2:9" ht="33" customHeight="1" x14ac:dyDescent="0.15">
      <c r="B23" t="s">
        <v>214</v>
      </c>
      <c r="C23" s="10" t="s">
        <v>67</v>
      </c>
      <c r="D23" s="10" t="s">
        <v>350</v>
      </c>
      <c r="E23" s="10" t="s">
        <v>69</v>
      </c>
      <c r="F23" s="10" t="s">
        <v>222</v>
      </c>
      <c r="G23" s="10" t="s">
        <v>71</v>
      </c>
      <c r="H23" s="10" t="s">
        <v>223</v>
      </c>
      <c r="I23" s="10" t="s">
        <v>73</v>
      </c>
    </row>
    <row r="24" spans="2:9" ht="15" customHeight="1" x14ac:dyDescent="0.15">
      <c r="B24" t="s">
        <v>217</v>
      </c>
      <c r="C24">
        <v>4</v>
      </c>
      <c r="D24" t="s">
        <v>216</v>
      </c>
      <c r="E24">
        <v>0</v>
      </c>
      <c r="F24" t="s">
        <v>218</v>
      </c>
      <c r="G24">
        <v>3</v>
      </c>
      <c r="H24" t="s">
        <v>219</v>
      </c>
      <c r="I24">
        <v>1</v>
      </c>
    </row>
    <row r="25" spans="2:9" ht="15" customHeight="1" x14ac:dyDescent="0.15">
      <c r="B25" t="s">
        <v>220</v>
      </c>
      <c r="C25">
        <v>1</v>
      </c>
      <c r="D25" t="s">
        <v>216</v>
      </c>
      <c r="E25">
        <v>0</v>
      </c>
      <c r="F25" t="s">
        <v>218</v>
      </c>
      <c r="G25">
        <v>1</v>
      </c>
      <c r="H25" t="s">
        <v>219</v>
      </c>
      <c r="I25">
        <v>0</v>
      </c>
    </row>
    <row r="28" spans="2:9" ht="33" customHeight="1" x14ac:dyDescent="0.15">
      <c r="B28" t="s">
        <v>229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89</v>
      </c>
      <c r="C29" s="12">
        <v>53</v>
      </c>
      <c r="D29" s="8">
        <v>11.52</v>
      </c>
      <c r="E29" s="12">
        <v>50</v>
      </c>
      <c r="F29" s="8">
        <v>14.53</v>
      </c>
      <c r="G29" s="12">
        <v>3</v>
      </c>
      <c r="H29" s="8">
        <v>2.65</v>
      </c>
      <c r="I29" s="12">
        <v>0</v>
      </c>
    </row>
    <row r="30" spans="2:9" ht="15" customHeight="1" x14ac:dyDescent="0.15">
      <c r="B30" t="s">
        <v>74</v>
      </c>
      <c r="C30" s="12">
        <v>51</v>
      </c>
      <c r="D30" s="8">
        <v>11.09</v>
      </c>
      <c r="E30" s="12">
        <v>21</v>
      </c>
      <c r="F30" s="8">
        <v>6.1</v>
      </c>
      <c r="G30" s="12">
        <v>30</v>
      </c>
      <c r="H30" s="8">
        <v>26.55</v>
      </c>
      <c r="I30" s="12">
        <v>0</v>
      </c>
    </row>
    <row r="31" spans="2:9" ht="15" customHeight="1" x14ac:dyDescent="0.15">
      <c r="B31" t="s">
        <v>90</v>
      </c>
      <c r="C31" s="12">
        <v>49</v>
      </c>
      <c r="D31" s="8">
        <v>10.65</v>
      </c>
      <c r="E31" s="12">
        <v>47</v>
      </c>
      <c r="F31" s="8">
        <v>13.66</v>
      </c>
      <c r="G31" s="12">
        <v>2</v>
      </c>
      <c r="H31" s="8">
        <v>1.77</v>
      </c>
      <c r="I31" s="12">
        <v>0</v>
      </c>
    </row>
    <row r="32" spans="2:9" ht="15" customHeight="1" x14ac:dyDescent="0.15">
      <c r="B32" t="s">
        <v>84</v>
      </c>
      <c r="C32" s="12">
        <v>47</v>
      </c>
      <c r="D32" s="8">
        <v>10.220000000000001</v>
      </c>
      <c r="E32" s="12">
        <v>36</v>
      </c>
      <c r="F32" s="8">
        <v>10.47</v>
      </c>
      <c r="G32" s="12">
        <v>11</v>
      </c>
      <c r="H32" s="8">
        <v>9.73</v>
      </c>
      <c r="I32" s="12">
        <v>0</v>
      </c>
    </row>
    <row r="33" spans="2:9" ht="15" customHeight="1" x14ac:dyDescent="0.15">
      <c r="B33" t="s">
        <v>82</v>
      </c>
      <c r="C33" s="12">
        <v>38</v>
      </c>
      <c r="D33" s="8">
        <v>8.26</v>
      </c>
      <c r="E33" s="12">
        <v>31</v>
      </c>
      <c r="F33" s="8">
        <v>9.01</v>
      </c>
      <c r="G33" s="12">
        <v>7</v>
      </c>
      <c r="H33" s="8">
        <v>6.19</v>
      </c>
      <c r="I33" s="12">
        <v>0</v>
      </c>
    </row>
    <row r="34" spans="2:9" ht="15" customHeight="1" x14ac:dyDescent="0.15">
      <c r="B34" t="s">
        <v>75</v>
      </c>
      <c r="C34" s="12">
        <v>26</v>
      </c>
      <c r="D34" s="8">
        <v>5.65</v>
      </c>
      <c r="E34" s="12">
        <v>20</v>
      </c>
      <c r="F34" s="8">
        <v>5.81</v>
      </c>
      <c r="G34" s="12">
        <v>6</v>
      </c>
      <c r="H34" s="8">
        <v>5.31</v>
      </c>
      <c r="I34" s="12">
        <v>0</v>
      </c>
    </row>
    <row r="35" spans="2:9" ht="15" customHeight="1" x14ac:dyDescent="0.15">
      <c r="B35" t="s">
        <v>108</v>
      </c>
      <c r="C35" s="12">
        <v>24</v>
      </c>
      <c r="D35" s="8">
        <v>5.22</v>
      </c>
      <c r="E35" s="12">
        <v>19</v>
      </c>
      <c r="F35" s="8">
        <v>5.52</v>
      </c>
      <c r="G35" s="12">
        <v>5</v>
      </c>
      <c r="H35" s="8">
        <v>4.42</v>
      </c>
      <c r="I35" s="12">
        <v>0</v>
      </c>
    </row>
    <row r="36" spans="2:9" ht="15" customHeight="1" x14ac:dyDescent="0.15">
      <c r="B36" t="s">
        <v>83</v>
      </c>
      <c r="C36" s="12">
        <v>17</v>
      </c>
      <c r="D36" s="8">
        <v>3.7</v>
      </c>
      <c r="E36" s="12">
        <v>13</v>
      </c>
      <c r="F36" s="8">
        <v>3.78</v>
      </c>
      <c r="G36" s="12">
        <v>4</v>
      </c>
      <c r="H36" s="8">
        <v>3.54</v>
      </c>
      <c r="I36" s="12">
        <v>0</v>
      </c>
    </row>
    <row r="37" spans="2:9" ht="15" customHeight="1" x14ac:dyDescent="0.15">
      <c r="B37" t="s">
        <v>86</v>
      </c>
      <c r="C37" s="12">
        <v>15</v>
      </c>
      <c r="D37" s="8">
        <v>3.26</v>
      </c>
      <c r="E37" s="12">
        <v>12</v>
      </c>
      <c r="F37" s="8">
        <v>3.49</v>
      </c>
      <c r="G37" s="12">
        <v>3</v>
      </c>
      <c r="H37" s="8">
        <v>2.65</v>
      </c>
      <c r="I37" s="12">
        <v>0</v>
      </c>
    </row>
    <row r="38" spans="2:9" ht="15" customHeight="1" x14ac:dyDescent="0.15">
      <c r="B38" t="s">
        <v>76</v>
      </c>
      <c r="C38" s="12">
        <v>13</v>
      </c>
      <c r="D38" s="8">
        <v>2.83</v>
      </c>
      <c r="E38" s="12">
        <v>9</v>
      </c>
      <c r="F38" s="8">
        <v>2.62</v>
      </c>
      <c r="G38" s="12">
        <v>4</v>
      </c>
      <c r="H38" s="8">
        <v>3.54</v>
      </c>
      <c r="I38" s="12">
        <v>0</v>
      </c>
    </row>
    <row r="39" spans="2:9" ht="15" customHeight="1" x14ac:dyDescent="0.15">
      <c r="B39" t="s">
        <v>107</v>
      </c>
      <c r="C39" s="12">
        <v>13</v>
      </c>
      <c r="D39" s="8">
        <v>2.83</v>
      </c>
      <c r="E39" s="12">
        <v>10</v>
      </c>
      <c r="F39" s="8">
        <v>2.91</v>
      </c>
      <c r="G39" s="12">
        <v>3</v>
      </c>
      <c r="H39" s="8">
        <v>2.65</v>
      </c>
      <c r="I39" s="12">
        <v>0</v>
      </c>
    </row>
    <row r="40" spans="2:9" ht="15" customHeight="1" x14ac:dyDescent="0.15">
      <c r="B40" t="s">
        <v>92</v>
      </c>
      <c r="C40" s="12">
        <v>9</v>
      </c>
      <c r="D40" s="8">
        <v>1.96</v>
      </c>
      <c r="E40" s="12">
        <v>8</v>
      </c>
      <c r="F40" s="8">
        <v>2.33</v>
      </c>
      <c r="G40" s="12">
        <v>1</v>
      </c>
      <c r="H40" s="8">
        <v>0.88</v>
      </c>
      <c r="I40" s="12">
        <v>0</v>
      </c>
    </row>
    <row r="41" spans="2:9" ht="15" customHeight="1" x14ac:dyDescent="0.15">
      <c r="B41" t="s">
        <v>106</v>
      </c>
      <c r="C41" s="12">
        <v>9</v>
      </c>
      <c r="D41" s="8">
        <v>1.96</v>
      </c>
      <c r="E41" s="12">
        <v>8</v>
      </c>
      <c r="F41" s="8">
        <v>2.33</v>
      </c>
      <c r="G41" s="12">
        <v>1</v>
      </c>
      <c r="H41" s="8">
        <v>0.88</v>
      </c>
      <c r="I41" s="12">
        <v>0</v>
      </c>
    </row>
    <row r="42" spans="2:9" ht="15" customHeight="1" x14ac:dyDescent="0.15">
      <c r="B42" t="s">
        <v>96</v>
      </c>
      <c r="C42" s="12">
        <v>8</v>
      </c>
      <c r="D42" s="8">
        <v>1.74</v>
      </c>
      <c r="E42" s="12">
        <v>1</v>
      </c>
      <c r="F42" s="8">
        <v>0.28999999999999998</v>
      </c>
      <c r="G42" s="12">
        <v>7</v>
      </c>
      <c r="H42" s="8">
        <v>6.19</v>
      </c>
      <c r="I42" s="12">
        <v>0</v>
      </c>
    </row>
    <row r="43" spans="2:9" ht="15" customHeight="1" x14ac:dyDescent="0.15">
      <c r="B43" t="s">
        <v>81</v>
      </c>
      <c r="C43" s="12">
        <v>8</v>
      </c>
      <c r="D43" s="8">
        <v>1.74</v>
      </c>
      <c r="E43" s="12">
        <v>7</v>
      </c>
      <c r="F43" s="8">
        <v>2.0299999999999998</v>
      </c>
      <c r="G43" s="12">
        <v>1</v>
      </c>
      <c r="H43" s="8">
        <v>0.88</v>
      </c>
      <c r="I43" s="12">
        <v>0</v>
      </c>
    </row>
    <row r="44" spans="2:9" ht="15" customHeight="1" x14ac:dyDescent="0.15">
      <c r="B44" t="s">
        <v>87</v>
      </c>
      <c r="C44" s="12">
        <v>8</v>
      </c>
      <c r="D44" s="8">
        <v>1.74</v>
      </c>
      <c r="E44" s="12">
        <v>8</v>
      </c>
      <c r="F44" s="8">
        <v>2.33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93</v>
      </c>
      <c r="C45" s="12">
        <v>8</v>
      </c>
      <c r="D45" s="8">
        <v>1.74</v>
      </c>
      <c r="E45" s="12">
        <v>7</v>
      </c>
      <c r="F45" s="8">
        <v>2.0299999999999998</v>
      </c>
      <c r="G45" s="12">
        <v>1</v>
      </c>
      <c r="H45" s="8">
        <v>0.88</v>
      </c>
      <c r="I45" s="12">
        <v>0</v>
      </c>
    </row>
    <row r="46" spans="2:9" ht="15" customHeight="1" x14ac:dyDescent="0.15">
      <c r="B46" t="s">
        <v>103</v>
      </c>
      <c r="C46" s="12">
        <v>7</v>
      </c>
      <c r="D46" s="8">
        <v>1.52</v>
      </c>
      <c r="E46" s="12">
        <v>6</v>
      </c>
      <c r="F46" s="8">
        <v>1.74</v>
      </c>
      <c r="G46" s="12">
        <v>1</v>
      </c>
      <c r="H46" s="8">
        <v>0.88</v>
      </c>
      <c r="I46" s="12">
        <v>0</v>
      </c>
    </row>
    <row r="47" spans="2:9" ht="15" customHeight="1" x14ac:dyDescent="0.15">
      <c r="B47" t="s">
        <v>88</v>
      </c>
      <c r="C47" s="12">
        <v>7</v>
      </c>
      <c r="D47" s="8">
        <v>1.52</v>
      </c>
      <c r="E47" s="12">
        <v>5</v>
      </c>
      <c r="F47" s="8">
        <v>1.45</v>
      </c>
      <c r="G47" s="12">
        <v>2</v>
      </c>
      <c r="H47" s="8">
        <v>1.77</v>
      </c>
      <c r="I47" s="12">
        <v>0</v>
      </c>
    </row>
    <row r="48" spans="2:9" ht="15" customHeight="1" x14ac:dyDescent="0.15">
      <c r="B48" t="s">
        <v>95</v>
      </c>
      <c r="C48" s="12">
        <v>4</v>
      </c>
      <c r="D48" s="8">
        <v>0.87</v>
      </c>
      <c r="E48" s="12">
        <v>4</v>
      </c>
      <c r="F48" s="8">
        <v>1.1599999999999999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114</v>
      </c>
      <c r="C49" s="12">
        <v>4</v>
      </c>
      <c r="D49" s="8">
        <v>0.87</v>
      </c>
      <c r="E49" s="12">
        <v>2</v>
      </c>
      <c r="F49" s="8">
        <v>0.57999999999999996</v>
      </c>
      <c r="G49" s="12">
        <v>2</v>
      </c>
      <c r="H49" s="8">
        <v>1.77</v>
      </c>
      <c r="I49" s="12">
        <v>0</v>
      </c>
    </row>
    <row r="52" spans="2:9" ht="33" customHeight="1" x14ac:dyDescent="0.15">
      <c r="B52" t="s">
        <v>230</v>
      </c>
      <c r="C52" s="10" t="s">
        <v>67</v>
      </c>
      <c r="D52" s="10" t="s">
        <v>68</v>
      </c>
      <c r="E52" s="10" t="s">
        <v>69</v>
      </c>
      <c r="F52" s="10" t="s">
        <v>70</v>
      </c>
      <c r="G52" s="10" t="s">
        <v>71</v>
      </c>
      <c r="H52" s="10" t="s">
        <v>72</v>
      </c>
      <c r="I52" s="10" t="s">
        <v>73</v>
      </c>
    </row>
    <row r="53" spans="2:9" ht="15" customHeight="1" x14ac:dyDescent="0.15">
      <c r="B53" t="s">
        <v>125</v>
      </c>
      <c r="C53" s="12">
        <v>25</v>
      </c>
      <c r="D53" s="8">
        <v>5.43</v>
      </c>
      <c r="E53" s="12">
        <v>4</v>
      </c>
      <c r="F53" s="8">
        <v>1.1599999999999999</v>
      </c>
      <c r="G53" s="12">
        <v>21</v>
      </c>
      <c r="H53" s="8">
        <v>18.579999999999998</v>
      </c>
      <c r="I53" s="12">
        <v>0</v>
      </c>
    </row>
    <row r="54" spans="2:9" ht="15" customHeight="1" x14ac:dyDescent="0.15">
      <c r="B54" t="s">
        <v>141</v>
      </c>
      <c r="C54" s="12">
        <v>23</v>
      </c>
      <c r="D54" s="8">
        <v>5</v>
      </c>
      <c r="E54" s="12">
        <v>23</v>
      </c>
      <c r="F54" s="8">
        <v>6.69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140</v>
      </c>
      <c r="C55" s="12">
        <v>21</v>
      </c>
      <c r="D55" s="8">
        <v>4.57</v>
      </c>
      <c r="E55" s="12">
        <v>21</v>
      </c>
      <c r="F55" s="8">
        <v>6.1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170</v>
      </c>
      <c r="C56" s="12">
        <v>20</v>
      </c>
      <c r="D56" s="8">
        <v>4.3499999999999996</v>
      </c>
      <c r="E56" s="12">
        <v>17</v>
      </c>
      <c r="F56" s="8">
        <v>4.9400000000000004</v>
      </c>
      <c r="G56" s="12">
        <v>3</v>
      </c>
      <c r="H56" s="8">
        <v>2.65</v>
      </c>
      <c r="I56" s="12">
        <v>0</v>
      </c>
    </row>
    <row r="57" spans="2:9" ht="15" customHeight="1" x14ac:dyDescent="0.15">
      <c r="B57" t="s">
        <v>167</v>
      </c>
      <c r="C57" s="12">
        <v>16</v>
      </c>
      <c r="D57" s="8">
        <v>3.48</v>
      </c>
      <c r="E57" s="12">
        <v>10</v>
      </c>
      <c r="F57" s="8">
        <v>2.91</v>
      </c>
      <c r="G57" s="12">
        <v>6</v>
      </c>
      <c r="H57" s="8">
        <v>5.31</v>
      </c>
      <c r="I57" s="12">
        <v>0</v>
      </c>
    </row>
    <row r="58" spans="2:9" ht="15" customHeight="1" x14ac:dyDescent="0.15">
      <c r="B58" t="s">
        <v>132</v>
      </c>
      <c r="C58" s="12">
        <v>12</v>
      </c>
      <c r="D58" s="8">
        <v>2.61</v>
      </c>
      <c r="E58" s="12">
        <v>12</v>
      </c>
      <c r="F58" s="8">
        <v>3.49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138</v>
      </c>
      <c r="C59" s="12">
        <v>12</v>
      </c>
      <c r="D59" s="8">
        <v>2.61</v>
      </c>
      <c r="E59" s="12">
        <v>11</v>
      </c>
      <c r="F59" s="8">
        <v>3.2</v>
      </c>
      <c r="G59" s="12">
        <v>1</v>
      </c>
      <c r="H59" s="8">
        <v>0.88</v>
      </c>
      <c r="I59" s="12">
        <v>0</v>
      </c>
    </row>
    <row r="60" spans="2:9" ht="15" customHeight="1" x14ac:dyDescent="0.15">
      <c r="B60" t="s">
        <v>131</v>
      </c>
      <c r="C60" s="12">
        <v>11</v>
      </c>
      <c r="D60" s="8">
        <v>2.39</v>
      </c>
      <c r="E60" s="12">
        <v>10</v>
      </c>
      <c r="F60" s="8">
        <v>2.91</v>
      </c>
      <c r="G60" s="12">
        <v>1</v>
      </c>
      <c r="H60" s="8">
        <v>0.88</v>
      </c>
      <c r="I60" s="12">
        <v>0</v>
      </c>
    </row>
    <row r="61" spans="2:9" ht="15" customHeight="1" x14ac:dyDescent="0.15">
      <c r="B61" t="s">
        <v>136</v>
      </c>
      <c r="C61" s="12">
        <v>11</v>
      </c>
      <c r="D61" s="8">
        <v>2.39</v>
      </c>
      <c r="E61" s="12">
        <v>11</v>
      </c>
      <c r="F61" s="8">
        <v>3.2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188</v>
      </c>
      <c r="C62" s="12">
        <v>10</v>
      </c>
      <c r="D62" s="8">
        <v>2.17</v>
      </c>
      <c r="E62" s="12">
        <v>9</v>
      </c>
      <c r="F62" s="8">
        <v>2.62</v>
      </c>
      <c r="G62" s="12">
        <v>1</v>
      </c>
      <c r="H62" s="8">
        <v>0.88</v>
      </c>
      <c r="I62" s="12">
        <v>0</v>
      </c>
    </row>
    <row r="63" spans="2:9" ht="15" customHeight="1" x14ac:dyDescent="0.15">
      <c r="B63" t="s">
        <v>127</v>
      </c>
      <c r="C63" s="12">
        <v>9</v>
      </c>
      <c r="D63" s="8">
        <v>1.96</v>
      </c>
      <c r="E63" s="12">
        <v>8</v>
      </c>
      <c r="F63" s="8">
        <v>2.33</v>
      </c>
      <c r="G63" s="12">
        <v>1</v>
      </c>
      <c r="H63" s="8">
        <v>0.88</v>
      </c>
      <c r="I63" s="12">
        <v>0</v>
      </c>
    </row>
    <row r="64" spans="2:9" ht="15" customHeight="1" x14ac:dyDescent="0.15">
      <c r="B64" t="s">
        <v>146</v>
      </c>
      <c r="C64" s="12">
        <v>9</v>
      </c>
      <c r="D64" s="8">
        <v>1.96</v>
      </c>
      <c r="E64" s="12">
        <v>7</v>
      </c>
      <c r="F64" s="8">
        <v>2.0299999999999998</v>
      </c>
      <c r="G64" s="12">
        <v>2</v>
      </c>
      <c r="H64" s="8">
        <v>1.77</v>
      </c>
      <c r="I64" s="12">
        <v>0</v>
      </c>
    </row>
    <row r="65" spans="2:9" ht="15" customHeight="1" x14ac:dyDescent="0.15">
      <c r="B65" t="s">
        <v>130</v>
      </c>
      <c r="C65" s="12">
        <v>9</v>
      </c>
      <c r="D65" s="8">
        <v>1.96</v>
      </c>
      <c r="E65" s="12">
        <v>7</v>
      </c>
      <c r="F65" s="8">
        <v>2.0299999999999998</v>
      </c>
      <c r="G65" s="12">
        <v>2</v>
      </c>
      <c r="H65" s="8">
        <v>1.77</v>
      </c>
      <c r="I65" s="12">
        <v>0</v>
      </c>
    </row>
    <row r="66" spans="2:9" ht="15" customHeight="1" x14ac:dyDescent="0.15">
      <c r="B66" t="s">
        <v>135</v>
      </c>
      <c r="C66" s="12">
        <v>9</v>
      </c>
      <c r="D66" s="8">
        <v>1.96</v>
      </c>
      <c r="E66" s="12">
        <v>9</v>
      </c>
      <c r="F66" s="8">
        <v>2.62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166</v>
      </c>
      <c r="C67" s="12">
        <v>9</v>
      </c>
      <c r="D67" s="8">
        <v>1.96</v>
      </c>
      <c r="E67" s="12">
        <v>8</v>
      </c>
      <c r="F67" s="8">
        <v>2.33</v>
      </c>
      <c r="G67" s="12">
        <v>1</v>
      </c>
      <c r="H67" s="8">
        <v>0.88</v>
      </c>
      <c r="I67" s="12">
        <v>0</v>
      </c>
    </row>
    <row r="68" spans="2:9" ht="15" customHeight="1" x14ac:dyDescent="0.15">
      <c r="B68" t="s">
        <v>172</v>
      </c>
      <c r="C68" s="12">
        <v>8</v>
      </c>
      <c r="D68" s="8">
        <v>1.74</v>
      </c>
      <c r="E68" s="12">
        <v>2</v>
      </c>
      <c r="F68" s="8">
        <v>0.57999999999999996</v>
      </c>
      <c r="G68" s="12">
        <v>6</v>
      </c>
      <c r="H68" s="8">
        <v>5.31</v>
      </c>
      <c r="I68" s="12">
        <v>0</v>
      </c>
    </row>
    <row r="69" spans="2:9" ht="15" customHeight="1" x14ac:dyDescent="0.15">
      <c r="B69" t="s">
        <v>181</v>
      </c>
      <c r="C69" s="12">
        <v>7</v>
      </c>
      <c r="D69" s="8">
        <v>1.52</v>
      </c>
      <c r="E69" s="12">
        <v>5</v>
      </c>
      <c r="F69" s="8">
        <v>1.45</v>
      </c>
      <c r="G69" s="12">
        <v>2</v>
      </c>
      <c r="H69" s="8">
        <v>1.77</v>
      </c>
      <c r="I69" s="12">
        <v>0</v>
      </c>
    </row>
    <row r="70" spans="2:9" ht="15" customHeight="1" x14ac:dyDescent="0.15">
      <c r="B70" t="s">
        <v>197</v>
      </c>
      <c r="C70" s="12">
        <v>7</v>
      </c>
      <c r="D70" s="8">
        <v>1.52</v>
      </c>
      <c r="E70" s="12">
        <v>4</v>
      </c>
      <c r="F70" s="8">
        <v>1.1599999999999999</v>
      </c>
      <c r="G70" s="12">
        <v>3</v>
      </c>
      <c r="H70" s="8">
        <v>2.65</v>
      </c>
      <c r="I70" s="12">
        <v>0</v>
      </c>
    </row>
    <row r="71" spans="2:9" ht="15" customHeight="1" x14ac:dyDescent="0.15">
      <c r="B71" t="s">
        <v>199</v>
      </c>
      <c r="C71" s="12">
        <v>7</v>
      </c>
      <c r="D71" s="8">
        <v>1.52</v>
      </c>
      <c r="E71" s="12">
        <v>6</v>
      </c>
      <c r="F71" s="8">
        <v>1.74</v>
      </c>
      <c r="G71" s="12">
        <v>1</v>
      </c>
      <c r="H71" s="8">
        <v>0.88</v>
      </c>
      <c r="I71" s="12">
        <v>0</v>
      </c>
    </row>
    <row r="72" spans="2:9" ht="15" customHeight="1" x14ac:dyDescent="0.15">
      <c r="B72" t="s">
        <v>129</v>
      </c>
      <c r="C72" s="12">
        <v>7</v>
      </c>
      <c r="D72" s="8">
        <v>1.52</v>
      </c>
      <c r="E72" s="12">
        <v>5</v>
      </c>
      <c r="F72" s="8">
        <v>1.45</v>
      </c>
      <c r="G72" s="12">
        <v>2</v>
      </c>
      <c r="H72" s="8">
        <v>1.77</v>
      </c>
      <c r="I72" s="12">
        <v>0</v>
      </c>
    </row>
    <row r="73" spans="2:9" ht="15" customHeight="1" x14ac:dyDescent="0.15">
      <c r="B73" t="s">
        <v>196</v>
      </c>
      <c r="C73" s="12">
        <v>7</v>
      </c>
      <c r="D73" s="8">
        <v>1.52</v>
      </c>
      <c r="E73" s="12">
        <v>6</v>
      </c>
      <c r="F73" s="8">
        <v>1.74</v>
      </c>
      <c r="G73" s="12">
        <v>1</v>
      </c>
      <c r="H73" s="8">
        <v>0.88</v>
      </c>
      <c r="I73" s="12">
        <v>0</v>
      </c>
    </row>
    <row r="74" spans="2:9" ht="15" customHeight="1" x14ac:dyDescent="0.15">
      <c r="B74" t="s">
        <v>137</v>
      </c>
      <c r="C74" s="12">
        <v>7</v>
      </c>
      <c r="D74" s="8">
        <v>1.52</v>
      </c>
      <c r="E74" s="12">
        <v>7</v>
      </c>
      <c r="F74" s="8">
        <v>2.0299999999999998</v>
      </c>
      <c r="G74" s="12">
        <v>0</v>
      </c>
      <c r="H74" s="8">
        <v>0</v>
      </c>
      <c r="I74" s="12">
        <v>0</v>
      </c>
    </row>
    <row r="76" spans="2:9" ht="15" customHeight="1" x14ac:dyDescent="0.15">
      <c r="B76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227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3007</v>
      </c>
      <c r="D6" s="8">
        <v>8.0500000000000007</v>
      </c>
      <c r="E6" s="12">
        <v>715</v>
      </c>
      <c r="F6" s="8">
        <v>3.47</v>
      </c>
      <c r="G6" s="12">
        <v>2290</v>
      </c>
      <c r="H6" s="8">
        <v>13.74</v>
      </c>
      <c r="I6" s="12">
        <v>2</v>
      </c>
    </row>
    <row r="7" spans="2:9" ht="15" customHeight="1" x14ac:dyDescent="0.15">
      <c r="B7" t="s">
        <v>53</v>
      </c>
      <c r="C7" s="12">
        <v>2644</v>
      </c>
      <c r="D7" s="8">
        <v>7.08</v>
      </c>
      <c r="E7" s="12">
        <v>1175</v>
      </c>
      <c r="F7" s="8">
        <v>5.7</v>
      </c>
      <c r="G7" s="12">
        <v>1467</v>
      </c>
      <c r="H7" s="8">
        <v>8.8000000000000007</v>
      </c>
      <c r="I7" s="12">
        <v>2</v>
      </c>
    </row>
    <row r="8" spans="2:9" ht="15" customHeight="1" x14ac:dyDescent="0.15">
      <c r="B8" t="s">
        <v>54</v>
      </c>
      <c r="C8" s="12">
        <v>12</v>
      </c>
      <c r="D8" s="8">
        <v>0.03</v>
      </c>
      <c r="E8" s="12">
        <v>0</v>
      </c>
      <c r="F8" s="8">
        <v>0</v>
      </c>
      <c r="G8" s="12">
        <v>12</v>
      </c>
      <c r="H8" s="8">
        <v>7.0000000000000007E-2</v>
      </c>
      <c r="I8" s="12">
        <v>0</v>
      </c>
    </row>
    <row r="9" spans="2:9" ht="15" customHeight="1" x14ac:dyDescent="0.15">
      <c r="B9" t="s">
        <v>55</v>
      </c>
      <c r="C9" s="12">
        <v>386</v>
      </c>
      <c r="D9" s="8">
        <v>1.03</v>
      </c>
      <c r="E9" s="12">
        <v>33</v>
      </c>
      <c r="F9" s="8">
        <v>0.16</v>
      </c>
      <c r="G9" s="12">
        <v>351</v>
      </c>
      <c r="H9" s="8">
        <v>2.11</v>
      </c>
      <c r="I9" s="12">
        <v>2</v>
      </c>
    </row>
    <row r="10" spans="2:9" ht="15" customHeight="1" x14ac:dyDescent="0.15">
      <c r="B10" t="s">
        <v>56</v>
      </c>
      <c r="C10" s="12">
        <v>657</v>
      </c>
      <c r="D10" s="8">
        <v>1.76</v>
      </c>
      <c r="E10" s="12">
        <v>195</v>
      </c>
      <c r="F10" s="8">
        <v>0.95</v>
      </c>
      <c r="G10" s="12">
        <v>462</v>
      </c>
      <c r="H10" s="8">
        <v>2.77</v>
      </c>
      <c r="I10" s="12">
        <v>0</v>
      </c>
    </row>
    <row r="11" spans="2:9" ht="15" customHeight="1" x14ac:dyDescent="0.15">
      <c r="B11" t="s">
        <v>57</v>
      </c>
      <c r="C11" s="12">
        <v>9364</v>
      </c>
      <c r="D11" s="8">
        <v>25.06</v>
      </c>
      <c r="E11" s="12">
        <v>4346</v>
      </c>
      <c r="F11" s="8">
        <v>21.07</v>
      </c>
      <c r="G11" s="12">
        <v>5011</v>
      </c>
      <c r="H11" s="8">
        <v>30.07</v>
      </c>
      <c r="I11" s="12">
        <v>7</v>
      </c>
    </row>
    <row r="12" spans="2:9" ht="15" customHeight="1" x14ac:dyDescent="0.15">
      <c r="B12" t="s">
        <v>58</v>
      </c>
      <c r="C12" s="12">
        <v>200</v>
      </c>
      <c r="D12" s="8">
        <v>0.54</v>
      </c>
      <c r="E12" s="12">
        <v>26</v>
      </c>
      <c r="F12" s="8">
        <v>0.13</v>
      </c>
      <c r="G12" s="12">
        <v>174</v>
      </c>
      <c r="H12" s="8">
        <v>1.04</v>
      </c>
      <c r="I12" s="12">
        <v>0</v>
      </c>
    </row>
    <row r="13" spans="2:9" ht="15" customHeight="1" x14ac:dyDescent="0.15">
      <c r="B13" t="s">
        <v>59</v>
      </c>
      <c r="C13" s="12">
        <v>3825</v>
      </c>
      <c r="D13" s="8">
        <v>10.24</v>
      </c>
      <c r="E13" s="12">
        <v>1313</v>
      </c>
      <c r="F13" s="8">
        <v>6.36</v>
      </c>
      <c r="G13" s="12">
        <v>2502</v>
      </c>
      <c r="H13" s="8">
        <v>15.01</v>
      </c>
      <c r="I13" s="12">
        <v>10</v>
      </c>
    </row>
    <row r="14" spans="2:9" ht="15" customHeight="1" x14ac:dyDescent="0.15">
      <c r="B14" t="s">
        <v>60</v>
      </c>
      <c r="C14" s="12">
        <v>2239</v>
      </c>
      <c r="D14" s="8">
        <v>5.99</v>
      </c>
      <c r="E14" s="12">
        <v>1327</v>
      </c>
      <c r="F14" s="8">
        <v>6.43</v>
      </c>
      <c r="G14" s="12">
        <v>907</v>
      </c>
      <c r="H14" s="8">
        <v>5.44</v>
      </c>
      <c r="I14" s="12">
        <v>5</v>
      </c>
    </row>
    <row r="15" spans="2:9" ht="15" customHeight="1" x14ac:dyDescent="0.15">
      <c r="B15" t="s">
        <v>61</v>
      </c>
      <c r="C15" s="12">
        <v>6842</v>
      </c>
      <c r="D15" s="8">
        <v>18.309999999999999</v>
      </c>
      <c r="E15" s="12">
        <v>6047</v>
      </c>
      <c r="F15" s="8">
        <v>29.31</v>
      </c>
      <c r="G15" s="12">
        <v>795</v>
      </c>
      <c r="H15" s="8">
        <v>4.7699999999999996</v>
      </c>
      <c r="I15" s="12">
        <v>0</v>
      </c>
    </row>
    <row r="16" spans="2:9" ht="15" customHeight="1" x14ac:dyDescent="0.15">
      <c r="B16" t="s">
        <v>62</v>
      </c>
      <c r="C16" s="12">
        <v>3913</v>
      </c>
      <c r="D16" s="8">
        <v>10.47</v>
      </c>
      <c r="E16" s="12">
        <v>2904</v>
      </c>
      <c r="F16" s="8">
        <v>14.08</v>
      </c>
      <c r="G16" s="12">
        <v>1005</v>
      </c>
      <c r="H16" s="8">
        <v>6.03</v>
      </c>
      <c r="I16" s="12">
        <v>4</v>
      </c>
    </row>
    <row r="17" spans="2:9" ht="15" customHeight="1" x14ac:dyDescent="0.15">
      <c r="B17" t="s">
        <v>63</v>
      </c>
      <c r="C17" s="12">
        <v>1390</v>
      </c>
      <c r="D17" s="8">
        <v>3.72</v>
      </c>
      <c r="E17" s="12">
        <v>1002</v>
      </c>
      <c r="F17" s="8">
        <v>4.8600000000000003</v>
      </c>
      <c r="G17" s="12">
        <v>373</v>
      </c>
      <c r="H17" s="8">
        <v>2.2400000000000002</v>
      </c>
      <c r="I17" s="12">
        <v>15</v>
      </c>
    </row>
    <row r="18" spans="2:9" ht="15" customHeight="1" x14ac:dyDescent="0.15">
      <c r="B18" t="s">
        <v>64</v>
      </c>
      <c r="C18" s="12">
        <v>1773</v>
      </c>
      <c r="D18" s="8">
        <v>4.75</v>
      </c>
      <c r="E18" s="12">
        <v>1147</v>
      </c>
      <c r="F18" s="8">
        <v>5.56</v>
      </c>
      <c r="G18" s="12">
        <v>617</v>
      </c>
      <c r="H18" s="8">
        <v>3.7</v>
      </c>
      <c r="I18" s="12">
        <v>9</v>
      </c>
    </row>
    <row r="19" spans="2:9" ht="15" customHeight="1" x14ac:dyDescent="0.15">
      <c r="B19" t="s">
        <v>65</v>
      </c>
      <c r="C19" s="12">
        <v>1111</v>
      </c>
      <c r="D19" s="8">
        <v>2.97</v>
      </c>
      <c r="E19" s="12">
        <v>400</v>
      </c>
      <c r="F19" s="8">
        <v>1.94</v>
      </c>
      <c r="G19" s="12">
        <v>699</v>
      </c>
      <c r="H19" s="8">
        <v>4.1900000000000004</v>
      </c>
      <c r="I19" s="12">
        <v>12</v>
      </c>
    </row>
    <row r="20" spans="2:9" ht="15" customHeight="1" x14ac:dyDescent="0.15">
      <c r="B20" s="9" t="s">
        <v>215</v>
      </c>
      <c r="C20" s="12">
        <f>SUM(LTBL_28100[総数／事業所数])</f>
        <v>37363</v>
      </c>
      <c r="E20" s="12">
        <f>SUBTOTAL(109,LTBL_28100[個人／事業所数])</f>
        <v>20630</v>
      </c>
      <c r="G20" s="12">
        <f>SUBTOTAL(109,LTBL_28100[法人／事業所数])</f>
        <v>16665</v>
      </c>
      <c r="I20" s="12">
        <f>SUBTOTAL(109,LTBL_28100[法人以外の団体／事業所数])</f>
        <v>68</v>
      </c>
    </row>
    <row r="21" spans="2:9" ht="15" customHeight="1" x14ac:dyDescent="0.15">
      <c r="E21" s="11">
        <f>LTBL_28100[[#Totals],[個人／事業所数]]/LTBL_28100[[#Totals],[総数／事業所数]]</f>
        <v>0.55215052324492142</v>
      </c>
      <c r="G21" s="11">
        <f>LTBL_28100[[#Totals],[法人／事業所数]]/LTBL_28100[[#Totals],[総数／事業所数]]</f>
        <v>0.44602949441961298</v>
      </c>
      <c r="I21" s="11">
        <f>LTBL_28100[[#Totals],[法人以外の団体／事業所数]]/LTBL_28100[[#Totals],[総数／事業所数]]</f>
        <v>1.8199823354655676E-3</v>
      </c>
    </row>
    <row r="23" spans="2:9" ht="33" customHeight="1" x14ac:dyDescent="0.15">
      <c r="B23" t="s">
        <v>214</v>
      </c>
      <c r="C23" s="10" t="s">
        <v>67</v>
      </c>
      <c r="D23" s="10" t="s">
        <v>221</v>
      </c>
      <c r="E23" s="10" t="s">
        <v>69</v>
      </c>
      <c r="F23" s="10" t="s">
        <v>222</v>
      </c>
      <c r="G23" s="10" t="s">
        <v>71</v>
      </c>
      <c r="H23" s="10" t="s">
        <v>228</v>
      </c>
      <c r="I23" s="10" t="s">
        <v>73</v>
      </c>
    </row>
    <row r="24" spans="2:9" ht="15" customHeight="1" x14ac:dyDescent="0.15">
      <c r="B24" t="s">
        <v>217</v>
      </c>
      <c r="C24">
        <v>59</v>
      </c>
      <c r="D24" t="s">
        <v>216</v>
      </c>
      <c r="E24">
        <v>0</v>
      </c>
      <c r="F24" t="s">
        <v>218</v>
      </c>
      <c r="G24">
        <v>59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229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89</v>
      </c>
      <c r="C29" s="12">
        <v>6501</v>
      </c>
      <c r="D29" s="8">
        <v>17.399999999999999</v>
      </c>
      <c r="E29" s="12">
        <v>5933</v>
      </c>
      <c r="F29" s="8">
        <v>28.76</v>
      </c>
      <c r="G29" s="12">
        <v>568</v>
      </c>
      <c r="H29" s="8">
        <v>3.41</v>
      </c>
      <c r="I29" s="12">
        <v>0</v>
      </c>
    </row>
    <row r="30" spans="2:9" ht="15" customHeight="1" x14ac:dyDescent="0.15">
      <c r="B30" t="s">
        <v>90</v>
      </c>
      <c r="C30" s="12">
        <v>3129</v>
      </c>
      <c r="D30" s="8">
        <v>8.3699999999999992</v>
      </c>
      <c r="E30" s="12">
        <v>2553</v>
      </c>
      <c r="F30" s="8">
        <v>12.38</v>
      </c>
      <c r="G30" s="12">
        <v>576</v>
      </c>
      <c r="H30" s="8">
        <v>3.46</v>
      </c>
      <c r="I30" s="12">
        <v>0</v>
      </c>
    </row>
    <row r="31" spans="2:9" ht="15" customHeight="1" x14ac:dyDescent="0.15">
      <c r="B31" t="s">
        <v>86</v>
      </c>
      <c r="C31" s="12">
        <v>2907</v>
      </c>
      <c r="D31" s="8">
        <v>7.78</v>
      </c>
      <c r="E31" s="12">
        <v>1154</v>
      </c>
      <c r="F31" s="8">
        <v>5.59</v>
      </c>
      <c r="G31" s="12">
        <v>1744</v>
      </c>
      <c r="H31" s="8">
        <v>10.47</v>
      </c>
      <c r="I31" s="12">
        <v>9</v>
      </c>
    </row>
    <row r="32" spans="2:9" ht="15" customHeight="1" x14ac:dyDescent="0.15">
      <c r="B32" t="s">
        <v>84</v>
      </c>
      <c r="C32" s="12">
        <v>2378</v>
      </c>
      <c r="D32" s="8">
        <v>6.36</v>
      </c>
      <c r="E32" s="12">
        <v>1322</v>
      </c>
      <c r="F32" s="8">
        <v>6.41</v>
      </c>
      <c r="G32" s="12">
        <v>1054</v>
      </c>
      <c r="H32" s="8">
        <v>6.32</v>
      </c>
      <c r="I32" s="12">
        <v>2</v>
      </c>
    </row>
    <row r="33" spans="2:9" ht="15" customHeight="1" x14ac:dyDescent="0.15">
      <c r="B33" t="s">
        <v>82</v>
      </c>
      <c r="C33" s="12">
        <v>1899</v>
      </c>
      <c r="D33" s="8">
        <v>5.08</v>
      </c>
      <c r="E33" s="12">
        <v>1282</v>
      </c>
      <c r="F33" s="8">
        <v>6.21</v>
      </c>
      <c r="G33" s="12">
        <v>615</v>
      </c>
      <c r="H33" s="8">
        <v>3.69</v>
      </c>
      <c r="I33" s="12">
        <v>2</v>
      </c>
    </row>
    <row r="34" spans="2:9" ht="15" customHeight="1" x14ac:dyDescent="0.15">
      <c r="B34" t="s">
        <v>81</v>
      </c>
      <c r="C34" s="12">
        <v>1680</v>
      </c>
      <c r="D34" s="8">
        <v>4.5</v>
      </c>
      <c r="E34" s="12">
        <v>834</v>
      </c>
      <c r="F34" s="8">
        <v>4.04</v>
      </c>
      <c r="G34" s="12">
        <v>846</v>
      </c>
      <c r="H34" s="8">
        <v>5.08</v>
      </c>
      <c r="I34" s="12">
        <v>0</v>
      </c>
    </row>
    <row r="35" spans="2:9" ht="15" customHeight="1" x14ac:dyDescent="0.15">
      <c r="B35" t="s">
        <v>87</v>
      </c>
      <c r="C35" s="12">
        <v>1434</v>
      </c>
      <c r="D35" s="8">
        <v>3.84</v>
      </c>
      <c r="E35" s="12">
        <v>1029</v>
      </c>
      <c r="F35" s="8">
        <v>4.99</v>
      </c>
      <c r="G35" s="12">
        <v>403</v>
      </c>
      <c r="H35" s="8">
        <v>2.42</v>
      </c>
      <c r="I35" s="12">
        <v>2</v>
      </c>
    </row>
    <row r="36" spans="2:9" ht="15" customHeight="1" x14ac:dyDescent="0.15">
      <c r="B36" t="s">
        <v>92</v>
      </c>
      <c r="C36" s="12">
        <v>1390</v>
      </c>
      <c r="D36" s="8">
        <v>3.72</v>
      </c>
      <c r="E36" s="12">
        <v>1002</v>
      </c>
      <c r="F36" s="8">
        <v>4.8600000000000003</v>
      </c>
      <c r="G36" s="12">
        <v>373</v>
      </c>
      <c r="H36" s="8">
        <v>2.2400000000000002</v>
      </c>
      <c r="I36" s="12">
        <v>15</v>
      </c>
    </row>
    <row r="37" spans="2:9" ht="15" customHeight="1" x14ac:dyDescent="0.15">
      <c r="B37" t="s">
        <v>74</v>
      </c>
      <c r="C37" s="12">
        <v>1326</v>
      </c>
      <c r="D37" s="8">
        <v>3.55</v>
      </c>
      <c r="E37" s="12">
        <v>264</v>
      </c>
      <c r="F37" s="8">
        <v>1.28</v>
      </c>
      <c r="G37" s="12">
        <v>1061</v>
      </c>
      <c r="H37" s="8">
        <v>6.37</v>
      </c>
      <c r="I37" s="12">
        <v>1</v>
      </c>
    </row>
    <row r="38" spans="2:9" ht="15" customHeight="1" x14ac:dyDescent="0.15">
      <c r="B38" t="s">
        <v>93</v>
      </c>
      <c r="C38" s="12">
        <v>1309</v>
      </c>
      <c r="D38" s="8">
        <v>3.5</v>
      </c>
      <c r="E38" s="12">
        <v>1129</v>
      </c>
      <c r="F38" s="8">
        <v>5.47</v>
      </c>
      <c r="G38" s="12">
        <v>180</v>
      </c>
      <c r="H38" s="8">
        <v>1.08</v>
      </c>
      <c r="I38" s="12">
        <v>0</v>
      </c>
    </row>
    <row r="39" spans="2:9" ht="15" customHeight="1" x14ac:dyDescent="0.15">
      <c r="B39" t="s">
        <v>76</v>
      </c>
      <c r="C39" s="12">
        <v>852</v>
      </c>
      <c r="D39" s="8">
        <v>2.2799999999999998</v>
      </c>
      <c r="E39" s="12">
        <v>197</v>
      </c>
      <c r="F39" s="8">
        <v>0.95</v>
      </c>
      <c r="G39" s="12">
        <v>655</v>
      </c>
      <c r="H39" s="8">
        <v>3.93</v>
      </c>
      <c r="I39" s="12">
        <v>0</v>
      </c>
    </row>
    <row r="40" spans="2:9" ht="15" customHeight="1" x14ac:dyDescent="0.15">
      <c r="B40" t="s">
        <v>75</v>
      </c>
      <c r="C40" s="12">
        <v>829</v>
      </c>
      <c r="D40" s="8">
        <v>2.2200000000000002</v>
      </c>
      <c r="E40" s="12">
        <v>254</v>
      </c>
      <c r="F40" s="8">
        <v>1.23</v>
      </c>
      <c r="G40" s="12">
        <v>574</v>
      </c>
      <c r="H40" s="8">
        <v>3.44</v>
      </c>
      <c r="I40" s="12">
        <v>1</v>
      </c>
    </row>
    <row r="41" spans="2:9" ht="15" customHeight="1" x14ac:dyDescent="0.15">
      <c r="B41" t="s">
        <v>83</v>
      </c>
      <c r="C41" s="12">
        <v>808</v>
      </c>
      <c r="D41" s="8">
        <v>2.16</v>
      </c>
      <c r="E41" s="12">
        <v>447</v>
      </c>
      <c r="F41" s="8">
        <v>2.17</v>
      </c>
      <c r="G41" s="12">
        <v>361</v>
      </c>
      <c r="H41" s="8">
        <v>2.17</v>
      </c>
      <c r="I41" s="12">
        <v>0</v>
      </c>
    </row>
    <row r="42" spans="2:9" ht="15" customHeight="1" x14ac:dyDescent="0.15">
      <c r="B42" t="s">
        <v>85</v>
      </c>
      <c r="C42" s="12">
        <v>772</v>
      </c>
      <c r="D42" s="8">
        <v>2.0699999999999998</v>
      </c>
      <c r="E42" s="12">
        <v>141</v>
      </c>
      <c r="F42" s="8">
        <v>0.68</v>
      </c>
      <c r="G42" s="12">
        <v>630</v>
      </c>
      <c r="H42" s="8">
        <v>3.78</v>
      </c>
      <c r="I42" s="12">
        <v>1</v>
      </c>
    </row>
    <row r="43" spans="2:9" ht="15" customHeight="1" x14ac:dyDescent="0.15">
      <c r="B43" t="s">
        <v>88</v>
      </c>
      <c r="C43" s="12">
        <v>739</v>
      </c>
      <c r="D43" s="8">
        <v>1.98</v>
      </c>
      <c r="E43" s="12">
        <v>293</v>
      </c>
      <c r="F43" s="8">
        <v>1.42</v>
      </c>
      <c r="G43" s="12">
        <v>444</v>
      </c>
      <c r="H43" s="8">
        <v>2.66</v>
      </c>
      <c r="I43" s="12">
        <v>2</v>
      </c>
    </row>
    <row r="44" spans="2:9" ht="15" customHeight="1" x14ac:dyDescent="0.15">
      <c r="B44" t="s">
        <v>80</v>
      </c>
      <c r="C44" s="12">
        <v>573</v>
      </c>
      <c r="D44" s="8">
        <v>1.53</v>
      </c>
      <c r="E44" s="12">
        <v>126</v>
      </c>
      <c r="F44" s="8">
        <v>0.61</v>
      </c>
      <c r="G44" s="12">
        <v>445</v>
      </c>
      <c r="H44" s="8">
        <v>2.67</v>
      </c>
      <c r="I44" s="12">
        <v>2</v>
      </c>
    </row>
    <row r="45" spans="2:9" ht="15" customHeight="1" x14ac:dyDescent="0.15">
      <c r="B45" t="s">
        <v>78</v>
      </c>
      <c r="C45" s="12">
        <v>543</v>
      </c>
      <c r="D45" s="8">
        <v>1.45</v>
      </c>
      <c r="E45" s="12">
        <v>87</v>
      </c>
      <c r="F45" s="8">
        <v>0.42</v>
      </c>
      <c r="G45" s="12">
        <v>456</v>
      </c>
      <c r="H45" s="8">
        <v>2.74</v>
      </c>
      <c r="I45" s="12">
        <v>0</v>
      </c>
    </row>
    <row r="46" spans="2:9" ht="15" customHeight="1" x14ac:dyDescent="0.15">
      <c r="B46" t="s">
        <v>91</v>
      </c>
      <c r="C46" s="12">
        <v>542</v>
      </c>
      <c r="D46" s="8">
        <v>1.45</v>
      </c>
      <c r="E46" s="12">
        <v>221</v>
      </c>
      <c r="F46" s="8">
        <v>1.07</v>
      </c>
      <c r="G46" s="12">
        <v>320</v>
      </c>
      <c r="H46" s="8">
        <v>1.92</v>
      </c>
      <c r="I46" s="12">
        <v>1</v>
      </c>
    </row>
    <row r="47" spans="2:9" ht="15" customHeight="1" x14ac:dyDescent="0.15">
      <c r="B47" t="s">
        <v>79</v>
      </c>
      <c r="C47" s="12">
        <v>518</v>
      </c>
      <c r="D47" s="8">
        <v>1.39</v>
      </c>
      <c r="E47" s="12">
        <v>53</v>
      </c>
      <c r="F47" s="8">
        <v>0.26</v>
      </c>
      <c r="G47" s="12">
        <v>465</v>
      </c>
      <c r="H47" s="8">
        <v>2.79</v>
      </c>
      <c r="I47" s="12">
        <v>0</v>
      </c>
    </row>
    <row r="48" spans="2:9" ht="15" customHeight="1" x14ac:dyDescent="0.15">
      <c r="B48" t="s">
        <v>94</v>
      </c>
      <c r="C48" s="12">
        <v>464</v>
      </c>
      <c r="D48" s="8">
        <v>1.24</v>
      </c>
      <c r="E48" s="12">
        <v>18</v>
      </c>
      <c r="F48" s="8">
        <v>0.09</v>
      </c>
      <c r="G48" s="12">
        <v>437</v>
      </c>
      <c r="H48" s="8">
        <v>2.62</v>
      </c>
      <c r="I48" s="12">
        <v>9</v>
      </c>
    </row>
    <row r="51" spans="2:9" ht="33" customHeight="1" x14ac:dyDescent="0.15">
      <c r="B51" t="s">
        <v>230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137</v>
      </c>
      <c r="C52" s="12">
        <v>1643</v>
      </c>
      <c r="D52" s="8">
        <v>4.4000000000000004</v>
      </c>
      <c r="E52" s="12">
        <v>1616</v>
      </c>
      <c r="F52" s="8">
        <v>7.83</v>
      </c>
      <c r="G52" s="12">
        <v>27</v>
      </c>
      <c r="H52" s="8">
        <v>0.16</v>
      </c>
      <c r="I52" s="12">
        <v>0</v>
      </c>
    </row>
    <row r="53" spans="2:9" ht="15" customHeight="1" x14ac:dyDescent="0.15">
      <c r="B53" t="s">
        <v>141</v>
      </c>
      <c r="C53" s="12">
        <v>1482</v>
      </c>
      <c r="D53" s="8">
        <v>3.97</v>
      </c>
      <c r="E53" s="12">
        <v>1302</v>
      </c>
      <c r="F53" s="8">
        <v>6.31</v>
      </c>
      <c r="G53" s="12">
        <v>180</v>
      </c>
      <c r="H53" s="8">
        <v>1.08</v>
      </c>
      <c r="I53" s="12">
        <v>0</v>
      </c>
    </row>
    <row r="54" spans="2:9" ht="15" customHeight="1" x14ac:dyDescent="0.15">
      <c r="B54" t="s">
        <v>134</v>
      </c>
      <c r="C54" s="12">
        <v>1395</v>
      </c>
      <c r="D54" s="8">
        <v>3.73</v>
      </c>
      <c r="E54" s="12">
        <v>696</v>
      </c>
      <c r="F54" s="8">
        <v>3.37</v>
      </c>
      <c r="G54" s="12">
        <v>699</v>
      </c>
      <c r="H54" s="8">
        <v>4.1900000000000004</v>
      </c>
      <c r="I54" s="12">
        <v>0</v>
      </c>
    </row>
    <row r="55" spans="2:9" ht="15" customHeight="1" x14ac:dyDescent="0.15">
      <c r="B55" t="s">
        <v>138</v>
      </c>
      <c r="C55" s="12">
        <v>1316</v>
      </c>
      <c r="D55" s="8">
        <v>3.52</v>
      </c>
      <c r="E55" s="12">
        <v>1203</v>
      </c>
      <c r="F55" s="8">
        <v>5.83</v>
      </c>
      <c r="G55" s="12">
        <v>113</v>
      </c>
      <c r="H55" s="8">
        <v>0.68</v>
      </c>
      <c r="I55" s="12">
        <v>0</v>
      </c>
    </row>
    <row r="56" spans="2:9" ht="15" customHeight="1" x14ac:dyDescent="0.15">
      <c r="B56" t="s">
        <v>135</v>
      </c>
      <c r="C56" s="12">
        <v>1251</v>
      </c>
      <c r="D56" s="8">
        <v>3.35</v>
      </c>
      <c r="E56" s="12">
        <v>1066</v>
      </c>
      <c r="F56" s="8">
        <v>5.17</v>
      </c>
      <c r="G56" s="12">
        <v>185</v>
      </c>
      <c r="H56" s="8">
        <v>1.1100000000000001</v>
      </c>
      <c r="I56" s="12">
        <v>0</v>
      </c>
    </row>
    <row r="57" spans="2:9" ht="15" customHeight="1" x14ac:dyDescent="0.15">
      <c r="B57" t="s">
        <v>136</v>
      </c>
      <c r="C57" s="12">
        <v>1125</v>
      </c>
      <c r="D57" s="8">
        <v>3.01</v>
      </c>
      <c r="E57" s="12">
        <v>1030</v>
      </c>
      <c r="F57" s="8">
        <v>4.99</v>
      </c>
      <c r="G57" s="12">
        <v>95</v>
      </c>
      <c r="H57" s="8">
        <v>0.56999999999999995</v>
      </c>
      <c r="I57" s="12">
        <v>0</v>
      </c>
    </row>
    <row r="58" spans="2:9" ht="15" customHeight="1" x14ac:dyDescent="0.15">
      <c r="B58" t="s">
        <v>132</v>
      </c>
      <c r="C58" s="12">
        <v>1016</v>
      </c>
      <c r="D58" s="8">
        <v>2.72</v>
      </c>
      <c r="E58" s="12">
        <v>693</v>
      </c>
      <c r="F58" s="8">
        <v>3.36</v>
      </c>
      <c r="G58" s="12">
        <v>322</v>
      </c>
      <c r="H58" s="8">
        <v>1.93</v>
      </c>
      <c r="I58" s="12">
        <v>1</v>
      </c>
    </row>
    <row r="59" spans="2:9" ht="15" customHeight="1" x14ac:dyDescent="0.15">
      <c r="B59" t="s">
        <v>143</v>
      </c>
      <c r="C59" s="12">
        <v>930</v>
      </c>
      <c r="D59" s="8">
        <v>2.4900000000000002</v>
      </c>
      <c r="E59" s="12">
        <v>723</v>
      </c>
      <c r="F59" s="8">
        <v>3.5</v>
      </c>
      <c r="G59" s="12">
        <v>197</v>
      </c>
      <c r="H59" s="8">
        <v>1.18</v>
      </c>
      <c r="I59" s="12">
        <v>10</v>
      </c>
    </row>
    <row r="60" spans="2:9" ht="15" customHeight="1" x14ac:dyDescent="0.15">
      <c r="B60" t="s">
        <v>144</v>
      </c>
      <c r="C60" s="12">
        <v>886</v>
      </c>
      <c r="D60" s="8">
        <v>2.37</v>
      </c>
      <c r="E60" s="12">
        <v>764</v>
      </c>
      <c r="F60" s="8">
        <v>3.7</v>
      </c>
      <c r="G60" s="12">
        <v>122</v>
      </c>
      <c r="H60" s="8">
        <v>0.73</v>
      </c>
      <c r="I60" s="12">
        <v>0</v>
      </c>
    </row>
    <row r="61" spans="2:9" ht="15" customHeight="1" x14ac:dyDescent="0.15">
      <c r="B61" t="s">
        <v>128</v>
      </c>
      <c r="C61" s="12">
        <v>752</v>
      </c>
      <c r="D61" s="8">
        <v>2.0099999999999998</v>
      </c>
      <c r="E61" s="12">
        <v>378</v>
      </c>
      <c r="F61" s="8">
        <v>1.83</v>
      </c>
      <c r="G61" s="12">
        <v>374</v>
      </c>
      <c r="H61" s="8">
        <v>2.2400000000000002</v>
      </c>
      <c r="I61" s="12">
        <v>0</v>
      </c>
    </row>
    <row r="62" spans="2:9" ht="15" customHeight="1" x14ac:dyDescent="0.15">
      <c r="B62" t="s">
        <v>140</v>
      </c>
      <c r="C62" s="12">
        <v>748</v>
      </c>
      <c r="D62" s="8">
        <v>2</v>
      </c>
      <c r="E62" s="12">
        <v>690</v>
      </c>
      <c r="F62" s="8">
        <v>3.34</v>
      </c>
      <c r="G62" s="12">
        <v>58</v>
      </c>
      <c r="H62" s="8">
        <v>0.35</v>
      </c>
      <c r="I62" s="12">
        <v>0</v>
      </c>
    </row>
    <row r="63" spans="2:9" ht="15" customHeight="1" x14ac:dyDescent="0.15">
      <c r="B63" t="s">
        <v>129</v>
      </c>
      <c r="C63" s="12">
        <v>689</v>
      </c>
      <c r="D63" s="8">
        <v>1.84</v>
      </c>
      <c r="E63" s="12">
        <v>433</v>
      </c>
      <c r="F63" s="8">
        <v>2.1</v>
      </c>
      <c r="G63" s="12">
        <v>256</v>
      </c>
      <c r="H63" s="8">
        <v>1.54</v>
      </c>
      <c r="I63" s="12">
        <v>0</v>
      </c>
    </row>
    <row r="64" spans="2:9" ht="15" customHeight="1" x14ac:dyDescent="0.15">
      <c r="B64" t="s">
        <v>133</v>
      </c>
      <c r="C64" s="12">
        <v>597</v>
      </c>
      <c r="D64" s="8">
        <v>1.6</v>
      </c>
      <c r="E64" s="12">
        <v>127</v>
      </c>
      <c r="F64" s="8">
        <v>0.62</v>
      </c>
      <c r="G64" s="12">
        <v>470</v>
      </c>
      <c r="H64" s="8">
        <v>2.82</v>
      </c>
      <c r="I64" s="12">
        <v>0</v>
      </c>
    </row>
    <row r="65" spans="2:9" ht="15" customHeight="1" x14ac:dyDescent="0.15">
      <c r="B65" t="s">
        <v>139</v>
      </c>
      <c r="C65" s="12">
        <v>557</v>
      </c>
      <c r="D65" s="8">
        <v>1.49</v>
      </c>
      <c r="E65" s="12">
        <v>327</v>
      </c>
      <c r="F65" s="8">
        <v>1.59</v>
      </c>
      <c r="G65" s="12">
        <v>230</v>
      </c>
      <c r="H65" s="8">
        <v>1.38</v>
      </c>
      <c r="I65" s="12">
        <v>0</v>
      </c>
    </row>
    <row r="66" spans="2:9" ht="15" customHeight="1" x14ac:dyDescent="0.15">
      <c r="B66" t="s">
        <v>149</v>
      </c>
      <c r="C66" s="12">
        <v>546</v>
      </c>
      <c r="D66" s="8">
        <v>1.46</v>
      </c>
      <c r="E66" s="12">
        <v>47</v>
      </c>
      <c r="F66" s="8">
        <v>0.23</v>
      </c>
      <c r="G66" s="12">
        <v>492</v>
      </c>
      <c r="H66" s="8">
        <v>2.95</v>
      </c>
      <c r="I66" s="12">
        <v>7</v>
      </c>
    </row>
    <row r="67" spans="2:9" ht="15" customHeight="1" x14ac:dyDescent="0.15">
      <c r="B67" t="s">
        <v>151</v>
      </c>
      <c r="C67" s="12">
        <v>540</v>
      </c>
      <c r="D67" s="8">
        <v>1.45</v>
      </c>
      <c r="E67" s="12">
        <v>511</v>
      </c>
      <c r="F67" s="8">
        <v>2.48</v>
      </c>
      <c r="G67" s="12">
        <v>29</v>
      </c>
      <c r="H67" s="8">
        <v>0.17</v>
      </c>
      <c r="I67" s="12">
        <v>0</v>
      </c>
    </row>
    <row r="68" spans="2:9" ht="15" customHeight="1" x14ac:dyDescent="0.15">
      <c r="B68" t="s">
        <v>147</v>
      </c>
      <c r="C68" s="12">
        <v>504</v>
      </c>
      <c r="D68" s="8">
        <v>1.35</v>
      </c>
      <c r="E68" s="12">
        <v>96</v>
      </c>
      <c r="F68" s="8">
        <v>0.47</v>
      </c>
      <c r="G68" s="12">
        <v>407</v>
      </c>
      <c r="H68" s="8">
        <v>2.44</v>
      </c>
      <c r="I68" s="12">
        <v>1</v>
      </c>
    </row>
    <row r="69" spans="2:9" ht="15" customHeight="1" x14ac:dyDescent="0.15">
      <c r="B69" t="s">
        <v>148</v>
      </c>
      <c r="C69" s="12">
        <v>460</v>
      </c>
      <c r="D69" s="8">
        <v>1.23</v>
      </c>
      <c r="E69" s="12">
        <v>315</v>
      </c>
      <c r="F69" s="8">
        <v>1.53</v>
      </c>
      <c r="G69" s="12">
        <v>144</v>
      </c>
      <c r="H69" s="8">
        <v>0.86</v>
      </c>
      <c r="I69" s="12">
        <v>1</v>
      </c>
    </row>
    <row r="70" spans="2:9" ht="15" customHeight="1" x14ac:dyDescent="0.15">
      <c r="B70" t="s">
        <v>145</v>
      </c>
      <c r="C70" s="12">
        <v>456</v>
      </c>
      <c r="D70" s="8">
        <v>1.22</v>
      </c>
      <c r="E70" s="12">
        <v>231</v>
      </c>
      <c r="F70" s="8">
        <v>1.1200000000000001</v>
      </c>
      <c r="G70" s="12">
        <v>225</v>
      </c>
      <c r="H70" s="8">
        <v>1.35</v>
      </c>
      <c r="I70" s="12">
        <v>0</v>
      </c>
    </row>
    <row r="71" spans="2:9" ht="15" customHeight="1" x14ac:dyDescent="0.15">
      <c r="B71" t="s">
        <v>146</v>
      </c>
      <c r="C71" s="12">
        <v>435</v>
      </c>
      <c r="D71" s="8">
        <v>1.1599999999999999</v>
      </c>
      <c r="E71" s="12">
        <v>267</v>
      </c>
      <c r="F71" s="8">
        <v>1.29</v>
      </c>
      <c r="G71" s="12">
        <v>167</v>
      </c>
      <c r="H71" s="8">
        <v>1</v>
      </c>
      <c r="I71" s="12">
        <v>1</v>
      </c>
    </row>
    <row r="72" spans="2:9" ht="15" customHeight="1" x14ac:dyDescent="0.15">
      <c r="B72" t="s">
        <v>150</v>
      </c>
      <c r="C72" s="12">
        <v>435</v>
      </c>
      <c r="D72" s="8">
        <v>1.1599999999999999</v>
      </c>
      <c r="E72" s="12">
        <v>158</v>
      </c>
      <c r="F72" s="8">
        <v>0.77</v>
      </c>
      <c r="G72" s="12">
        <v>276</v>
      </c>
      <c r="H72" s="8">
        <v>1.66</v>
      </c>
      <c r="I72" s="12">
        <v>1</v>
      </c>
    </row>
    <row r="74" spans="2:9" ht="15" customHeight="1" x14ac:dyDescent="0.15">
      <c r="B74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231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308</v>
      </c>
      <c r="D6" s="8">
        <v>7.79</v>
      </c>
      <c r="E6" s="12">
        <v>63</v>
      </c>
      <c r="F6" s="8">
        <v>3.37</v>
      </c>
      <c r="G6" s="12">
        <v>244</v>
      </c>
      <c r="H6" s="8">
        <v>11.79</v>
      </c>
      <c r="I6" s="12">
        <v>1</v>
      </c>
    </row>
    <row r="7" spans="2:9" ht="15" customHeight="1" x14ac:dyDescent="0.15">
      <c r="B7" t="s">
        <v>53</v>
      </c>
      <c r="C7" s="12">
        <v>173</v>
      </c>
      <c r="D7" s="8">
        <v>4.38</v>
      </c>
      <c r="E7" s="12">
        <v>43</v>
      </c>
      <c r="F7" s="8">
        <v>2.2999999999999998</v>
      </c>
      <c r="G7" s="12">
        <v>130</v>
      </c>
      <c r="H7" s="8">
        <v>6.28</v>
      </c>
      <c r="I7" s="12">
        <v>0</v>
      </c>
    </row>
    <row r="8" spans="2:9" ht="15" customHeight="1" x14ac:dyDescent="0.15">
      <c r="B8" t="s">
        <v>54</v>
      </c>
      <c r="C8" s="12">
        <v>2</v>
      </c>
      <c r="D8" s="8">
        <v>0.05</v>
      </c>
      <c r="E8" s="12">
        <v>0</v>
      </c>
      <c r="F8" s="8">
        <v>0</v>
      </c>
      <c r="G8" s="12">
        <v>2</v>
      </c>
      <c r="H8" s="8">
        <v>0.1</v>
      </c>
      <c r="I8" s="12">
        <v>0</v>
      </c>
    </row>
    <row r="9" spans="2:9" ht="15" customHeight="1" x14ac:dyDescent="0.15">
      <c r="B9" t="s">
        <v>55</v>
      </c>
      <c r="C9" s="12">
        <v>50</v>
      </c>
      <c r="D9" s="8">
        <v>1.27</v>
      </c>
      <c r="E9" s="12">
        <v>0</v>
      </c>
      <c r="F9" s="8">
        <v>0</v>
      </c>
      <c r="G9" s="12">
        <v>49</v>
      </c>
      <c r="H9" s="8">
        <v>2.37</v>
      </c>
      <c r="I9" s="12">
        <v>1</v>
      </c>
    </row>
    <row r="10" spans="2:9" ht="15" customHeight="1" x14ac:dyDescent="0.15">
      <c r="B10" t="s">
        <v>56</v>
      </c>
      <c r="C10" s="12">
        <v>122</v>
      </c>
      <c r="D10" s="8">
        <v>3.09</v>
      </c>
      <c r="E10" s="12">
        <v>11</v>
      </c>
      <c r="F10" s="8">
        <v>0.59</v>
      </c>
      <c r="G10" s="12">
        <v>111</v>
      </c>
      <c r="H10" s="8">
        <v>5.36</v>
      </c>
      <c r="I10" s="12">
        <v>0</v>
      </c>
    </row>
    <row r="11" spans="2:9" ht="15" customHeight="1" x14ac:dyDescent="0.15">
      <c r="B11" t="s">
        <v>57</v>
      </c>
      <c r="C11" s="12">
        <v>955</v>
      </c>
      <c r="D11" s="8">
        <v>24.16</v>
      </c>
      <c r="E11" s="12">
        <v>428</v>
      </c>
      <c r="F11" s="8">
        <v>22.9</v>
      </c>
      <c r="G11" s="12">
        <v>524</v>
      </c>
      <c r="H11" s="8">
        <v>25.33</v>
      </c>
      <c r="I11" s="12">
        <v>3</v>
      </c>
    </row>
    <row r="12" spans="2:9" ht="15" customHeight="1" x14ac:dyDescent="0.15">
      <c r="B12" t="s">
        <v>58</v>
      </c>
      <c r="C12" s="12">
        <v>14</v>
      </c>
      <c r="D12" s="8">
        <v>0.35</v>
      </c>
      <c r="E12" s="12">
        <v>2</v>
      </c>
      <c r="F12" s="8">
        <v>0.11</v>
      </c>
      <c r="G12" s="12">
        <v>12</v>
      </c>
      <c r="H12" s="8">
        <v>0.57999999999999996</v>
      </c>
      <c r="I12" s="12">
        <v>0</v>
      </c>
    </row>
    <row r="13" spans="2:9" ht="15" customHeight="1" x14ac:dyDescent="0.15">
      <c r="B13" t="s">
        <v>59</v>
      </c>
      <c r="C13" s="12">
        <v>434</v>
      </c>
      <c r="D13" s="8">
        <v>10.98</v>
      </c>
      <c r="E13" s="12">
        <v>88</v>
      </c>
      <c r="F13" s="8">
        <v>4.71</v>
      </c>
      <c r="G13" s="12">
        <v>346</v>
      </c>
      <c r="H13" s="8">
        <v>16.72</v>
      </c>
      <c r="I13" s="12">
        <v>0</v>
      </c>
    </row>
    <row r="14" spans="2:9" ht="15" customHeight="1" x14ac:dyDescent="0.15">
      <c r="B14" t="s">
        <v>60</v>
      </c>
      <c r="C14" s="12">
        <v>234</v>
      </c>
      <c r="D14" s="8">
        <v>5.92</v>
      </c>
      <c r="E14" s="12">
        <v>103</v>
      </c>
      <c r="F14" s="8">
        <v>5.51</v>
      </c>
      <c r="G14" s="12">
        <v>131</v>
      </c>
      <c r="H14" s="8">
        <v>6.33</v>
      </c>
      <c r="I14" s="12">
        <v>0</v>
      </c>
    </row>
    <row r="15" spans="2:9" ht="15" customHeight="1" x14ac:dyDescent="0.15">
      <c r="B15" t="s">
        <v>61</v>
      </c>
      <c r="C15" s="12">
        <v>538</v>
      </c>
      <c r="D15" s="8">
        <v>13.61</v>
      </c>
      <c r="E15" s="12">
        <v>432</v>
      </c>
      <c r="F15" s="8">
        <v>23.11</v>
      </c>
      <c r="G15" s="12">
        <v>106</v>
      </c>
      <c r="H15" s="8">
        <v>5.12</v>
      </c>
      <c r="I15" s="12">
        <v>0</v>
      </c>
    </row>
    <row r="16" spans="2:9" ht="15" customHeight="1" x14ac:dyDescent="0.15">
      <c r="B16" t="s">
        <v>62</v>
      </c>
      <c r="C16" s="12">
        <v>507</v>
      </c>
      <c r="D16" s="8">
        <v>12.83</v>
      </c>
      <c r="E16" s="12">
        <v>351</v>
      </c>
      <c r="F16" s="8">
        <v>18.78</v>
      </c>
      <c r="G16" s="12">
        <v>156</v>
      </c>
      <c r="H16" s="8">
        <v>7.54</v>
      </c>
      <c r="I16" s="12">
        <v>0</v>
      </c>
    </row>
    <row r="17" spans="2:9" ht="15" customHeight="1" x14ac:dyDescent="0.15">
      <c r="B17" t="s">
        <v>63</v>
      </c>
      <c r="C17" s="12">
        <v>232</v>
      </c>
      <c r="D17" s="8">
        <v>5.87</v>
      </c>
      <c r="E17" s="12">
        <v>144</v>
      </c>
      <c r="F17" s="8">
        <v>7.7</v>
      </c>
      <c r="G17" s="12">
        <v>83</v>
      </c>
      <c r="H17" s="8">
        <v>4.01</v>
      </c>
      <c r="I17" s="12">
        <v>5</v>
      </c>
    </row>
    <row r="18" spans="2:9" ht="15" customHeight="1" x14ac:dyDescent="0.15">
      <c r="B18" t="s">
        <v>64</v>
      </c>
      <c r="C18" s="12">
        <v>241</v>
      </c>
      <c r="D18" s="8">
        <v>6.1</v>
      </c>
      <c r="E18" s="12">
        <v>161</v>
      </c>
      <c r="F18" s="8">
        <v>8.61</v>
      </c>
      <c r="G18" s="12">
        <v>79</v>
      </c>
      <c r="H18" s="8">
        <v>3.82</v>
      </c>
      <c r="I18" s="12">
        <v>1</v>
      </c>
    </row>
    <row r="19" spans="2:9" ht="15" customHeight="1" x14ac:dyDescent="0.15">
      <c r="B19" t="s">
        <v>65</v>
      </c>
      <c r="C19" s="12">
        <v>142</v>
      </c>
      <c r="D19" s="8">
        <v>3.59</v>
      </c>
      <c r="E19" s="12">
        <v>43</v>
      </c>
      <c r="F19" s="8">
        <v>2.2999999999999998</v>
      </c>
      <c r="G19" s="12">
        <v>96</v>
      </c>
      <c r="H19" s="8">
        <v>4.6399999999999997</v>
      </c>
      <c r="I19" s="12">
        <v>3</v>
      </c>
    </row>
    <row r="20" spans="2:9" ht="15" customHeight="1" x14ac:dyDescent="0.15">
      <c r="B20" s="9" t="s">
        <v>215</v>
      </c>
      <c r="C20" s="12">
        <f>SUM(LTBL_28101[総数／事業所数])</f>
        <v>3952</v>
      </c>
      <c r="E20" s="12">
        <f>SUBTOTAL(109,LTBL_28101[個人／事業所数])</f>
        <v>1869</v>
      </c>
      <c r="G20" s="12">
        <f>SUBTOTAL(109,LTBL_28101[法人／事業所数])</f>
        <v>2069</v>
      </c>
      <c r="I20" s="12">
        <f>SUBTOTAL(109,LTBL_28101[法人以外の団体／事業所数])</f>
        <v>14</v>
      </c>
    </row>
    <row r="21" spans="2:9" ht="15" customHeight="1" x14ac:dyDescent="0.15">
      <c r="E21" s="11">
        <f>LTBL_28101[[#Totals],[個人／事業所数]]/LTBL_28101[[#Totals],[総数／事業所数]]</f>
        <v>0.47292510121457487</v>
      </c>
      <c r="G21" s="11">
        <f>LTBL_28101[[#Totals],[法人／事業所数]]/LTBL_28101[[#Totals],[総数／事業所数]]</f>
        <v>0.52353238866396756</v>
      </c>
      <c r="I21" s="11">
        <f>LTBL_28101[[#Totals],[法人以外の団体／事業所数]]/LTBL_28101[[#Totals],[総数／事業所数]]</f>
        <v>3.5425101214574899E-3</v>
      </c>
    </row>
    <row r="23" spans="2:9" ht="33" customHeight="1" x14ac:dyDescent="0.15">
      <c r="B23" t="s">
        <v>214</v>
      </c>
      <c r="C23" s="10" t="s">
        <v>67</v>
      </c>
      <c r="D23" s="10" t="s">
        <v>232</v>
      </c>
      <c r="E23" s="10" t="s">
        <v>69</v>
      </c>
      <c r="F23" s="10" t="s">
        <v>233</v>
      </c>
      <c r="G23" s="10" t="s">
        <v>71</v>
      </c>
      <c r="H23" s="10" t="s">
        <v>223</v>
      </c>
      <c r="I23" s="10" t="s">
        <v>73</v>
      </c>
    </row>
    <row r="24" spans="2:9" ht="15" customHeight="1" x14ac:dyDescent="0.15">
      <c r="B24" t="s">
        <v>217</v>
      </c>
      <c r="C24">
        <v>5</v>
      </c>
      <c r="D24" t="s">
        <v>216</v>
      </c>
      <c r="E24">
        <v>0</v>
      </c>
      <c r="F24" t="s">
        <v>218</v>
      </c>
      <c r="G24">
        <v>5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234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89</v>
      </c>
      <c r="C29" s="12">
        <v>486</v>
      </c>
      <c r="D29" s="8">
        <v>12.3</v>
      </c>
      <c r="E29" s="12">
        <v>421</v>
      </c>
      <c r="F29" s="8">
        <v>22.53</v>
      </c>
      <c r="G29" s="12">
        <v>65</v>
      </c>
      <c r="H29" s="8">
        <v>3.14</v>
      </c>
      <c r="I29" s="12">
        <v>0</v>
      </c>
    </row>
    <row r="30" spans="2:9" ht="15" customHeight="1" x14ac:dyDescent="0.15">
      <c r="B30" t="s">
        <v>90</v>
      </c>
      <c r="C30" s="12">
        <v>414</v>
      </c>
      <c r="D30" s="8">
        <v>10.48</v>
      </c>
      <c r="E30" s="12">
        <v>308</v>
      </c>
      <c r="F30" s="8">
        <v>16.48</v>
      </c>
      <c r="G30" s="12">
        <v>106</v>
      </c>
      <c r="H30" s="8">
        <v>5.12</v>
      </c>
      <c r="I30" s="12">
        <v>0</v>
      </c>
    </row>
    <row r="31" spans="2:9" ht="15" customHeight="1" x14ac:dyDescent="0.15">
      <c r="B31" t="s">
        <v>86</v>
      </c>
      <c r="C31" s="12">
        <v>328</v>
      </c>
      <c r="D31" s="8">
        <v>8.3000000000000007</v>
      </c>
      <c r="E31" s="12">
        <v>65</v>
      </c>
      <c r="F31" s="8">
        <v>3.48</v>
      </c>
      <c r="G31" s="12">
        <v>263</v>
      </c>
      <c r="H31" s="8">
        <v>12.71</v>
      </c>
      <c r="I31" s="12">
        <v>0</v>
      </c>
    </row>
    <row r="32" spans="2:9" ht="15" customHeight="1" x14ac:dyDescent="0.15">
      <c r="B32" t="s">
        <v>84</v>
      </c>
      <c r="C32" s="12">
        <v>236</v>
      </c>
      <c r="D32" s="8">
        <v>5.97</v>
      </c>
      <c r="E32" s="12">
        <v>140</v>
      </c>
      <c r="F32" s="8">
        <v>7.49</v>
      </c>
      <c r="G32" s="12">
        <v>95</v>
      </c>
      <c r="H32" s="8">
        <v>4.59</v>
      </c>
      <c r="I32" s="12">
        <v>1</v>
      </c>
    </row>
    <row r="33" spans="2:9" ht="15" customHeight="1" x14ac:dyDescent="0.15">
      <c r="B33" t="s">
        <v>92</v>
      </c>
      <c r="C33" s="12">
        <v>232</v>
      </c>
      <c r="D33" s="8">
        <v>5.87</v>
      </c>
      <c r="E33" s="12">
        <v>144</v>
      </c>
      <c r="F33" s="8">
        <v>7.7</v>
      </c>
      <c r="G33" s="12">
        <v>83</v>
      </c>
      <c r="H33" s="8">
        <v>4.01</v>
      </c>
      <c r="I33" s="12">
        <v>5</v>
      </c>
    </row>
    <row r="34" spans="2:9" ht="15" customHeight="1" x14ac:dyDescent="0.15">
      <c r="B34" t="s">
        <v>82</v>
      </c>
      <c r="C34" s="12">
        <v>201</v>
      </c>
      <c r="D34" s="8">
        <v>5.09</v>
      </c>
      <c r="E34" s="12">
        <v>128</v>
      </c>
      <c r="F34" s="8">
        <v>6.85</v>
      </c>
      <c r="G34" s="12">
        <v>73</v>
      </c>
      <c r="H34" s="8">
        <v>3.53</v>
      </c>
      <c r="I34" s="12">
        <v>0</v>
      </c>
    </row>
    <row r="35" spans="2:9" ht="15" customHeight="1" x14ac:dyDescent="0.15">
      <c r="B35" t="s">
        <v>93</v>
      </c>
      <c r="C35" s="12">
        <v>191</v>
      </c>
      <c r="D35" s="8">
        <v>4.83</v>
      </c>
      <c r="E35" s="12">
        <v>160</v>
      </c>
      <c r="F35" s="8">
        <v>8.56</v>
      </c>
      <c r="G35" s="12">
        <v>31</v>
      </c>
      <c r="H35" s="8">
        <v>1.5</v>
      </c>
      <c r="I35" s="12">
        <v>0</v>
      </c>
    </row>
    <row r="36" spans="2:9" ht="15" customHeight="1" x14ac:dyDescent="0.15">
      <c r="B36" t="s">
        <v>81</v>
      </c>
      <c r="C36" s="12">
        <v>147</v>
      </c>
      <c r="D36" s="8">
        <v>3.72</v>
      </c>
      <c r="E36" s="12">
        <v>90</v>
      </c>
      <c r="F36" s="8">
        <v>4.82</v>
      </c>
      <c r="G36" s="12">
        <v>57</v>
      </c>
      <c r="H36" s="8">
        <v>2.75</v>
      </c>
      <c r="I36" s="12">
        <v>0</v>
      </c>
    </row>
    <row r="37" spans="2:9" ht="15" customHeight="1" x14ac:dyDescent="0.15">
      <c r="B37" t="s">
        <v>74</v>
      </c>
      <c r="C37" s="12">
        <v>145</v>
      </c>
      <c r="D37" s="8">
        <v>3.67</v>
      </c>
      <c r="E37" s="12">
        <v>20</v>
      </c>
      <c r="F37" s="8">
        <v>1.07</v>
      </c>
      <c r="G37" s="12">
        <v>125</v>
      </c>
      <c r="H37" s="8">
        <v>6.04</v>
      </c>
      <c r="I37" s="12">
        <v>0</v>
      </c>
    </row>
    <row r="38" spans="2:9" ht="15" customHeight="1" x14ac:dyDescent="0.15">
      <c r="B38" t="s">
        <v>87</v>
      </c>
      <c r="C38" s="12">
        <v>143</v>
      </c>
      <c r="D38" s="8">
        <v>3.62</v>
      </c>
      <c r="E38" s="12">
        <v>65</v>
      </c>
      <c r="F38" s="8">
        <v>3.48</v>
      </c>
      <c r="G38" s="12">
        <v>78</v>
      </c>
      <c r="H38" s="8">
        <v>3.77</v>
      </c>
      <c r="I38" s="12">
        <v>0</v>
      </c>
    </row>
    <row r="39" spans="2:9" ht="15" customHeight="1" x14ac:dyDescent="0.15">
      <c r="B39" t="s">
        <v>75</v>
      </c>
      <c r="C39" s="12">
        <v>92</v>
      </c>
      <c r="D39" s="8">
        <v>2.33</v>
      </c>
      <c r="E39" s="12">
        <v>31</v>
      </c>
      <c r="F39" s="8">
        <v>1.66</v>
      </c>
      <c r="G39" s="12">
        <v>60</v>
      </c>
      <c r="H39" s="8">
        <v>2.9</v>
      </c>
      <c r="I39" s="12">
        <v>1</v>
      </c>
    </row>
    <row r="40" spans="2:9" ht="15" customHeight="1" x14ac:dyDescent="0.15">
      <c r="B40" t="s">
        <v>85</v>
      </c>
      <c r="C40" s="12">
        <v>92</v>
      </c>
      <c r="D40" s="8">
        <v>2.33</v>
      </c>
      <c r="E40" s="12">
        <v>21</v>
      </c>
      <c r="F40" s="8">
        <v>1.1200000000000001</v>
      </c>
      <c r="G40" s="12">
        <v>71</v>
      </c>
      <c r="H40" s="8">
        <v>3.43</v>
      </c>
      <c r="I40" s="12">
        <v>0</v>
      </c>
    </row>
    <row r="41" spans="2:9" ht="15" customHeight="1" x14ac:dyDescent="0.15">
      <c r="B41" t="s">
        <v>83</v>
      </c>
      <c r="C41" s="12">
        <v>84</v>
      </c>
      <c r="D41" s="8">
        <v>2.13</v>
      </c>
      <c r="E41" s="12">
        <v>35</v>
      </c>
      <c r="F41" s="8">
        <v>1.87</v>
      </c>
      <c r="G41" s="12">
        <v>49</v>
      </c>
      <c r="H41" s="8">
        <v>2.37</v>
      </c>
      <c r="I41" s="12">
        <v>0</v>
      </c>
    </row>
    <row r="42" spans="2:9" ht="15" customHeight="1" x14ac:dyDescent="0.15">
      <c r="B42" t="s">
        <v>88</v>
      </c>
      <c r="C42" s="12">
        <v>79</v>
      </c>
      <c r="D42" s="8">
        <v>2</v>
      </c>
      <c r="E42" s="12">
        <v>37</v>
      </c>
      <c r="F42" s="8">
        <v>1.98</v>
      </c>
      <c r="G42" s="12">
        <v>42</v>
      </c>
      <c r="H42" s="8">
        <v>2.0299999999999998</v>
      </c>
      <c r="I42" s="12">
        <v>0</v>
      </c>
    </row>
    <row r="43" spans="2:9" ht="15" customHeight="1" x14ac:dyDescent="0.15">
      <c r="B43" t="s">
        <v>76</v>
      </c>
      <c r="C43" s="12">
        <v>71</v>
      </c>
      <c r="D43" s="8">
        <v>1.8</v>
      </c>
      <c r="E43" s="12">
        <v>12</v>
      </c>
      <c r="F43" s="8">
        <v>0.64</v>
      </c>
      <c r="G43" s="12">
        <v>59</v>
      </c>
      <c r="H43" s="8">
        <v>2.85</v>
      </c>
      <c r="I43" s="12">
        <v>0</v>
      </c>
    </row>
    <row r="44" spans="2:9" ht="15" customHeight="1" x14ac:dyDescent="0.15">
      <c r="B44" t="s">
        <v>91</v>
      </c>
      <c r="C44" s="12">
        <v>68</v>
      </c>
      <c r="D44" s="8">
        <v>1.72</v>
      </c>
      <c r="E44" s="12">
        <v>29</v>
      </c>
      <c r="F44" s="8">
        <v>1.55</v>
      </c>
      <c r="G44" s="12">
        <v>39</v>
      </c>
      <c r="H44" s="8">
        <v>1.88</v>
      </c>
      <c r="I44" s="12">
        <v>0</v>
      </c>
    </row>
    <row r="45" spans="2:9" ht="15" customHeight="1" x14ac:dyDescent="0.15">
      <c r="B45" t="s">
        <v>96</v>
      </c>
      <c r="C45" s="12">
        <v>66</v>
      </c>
      <c r="D45" s="8">
        <v>1.67</v>
      </c>
      <c r="E45" s="12">
        <v>9</v>
      </c>
      <c r="F45" s="8">
        <v>0.48</v>
      </c>
      <c r="G45" s="12">
        <v>57</v>
      </c>
      <c r="H45" s="8">
        <v>2.75</v>
      </c>
      <c r="I45" s="12">
        <v>0</v>
      </c>
    </row>
    <row r="46" spans="2:9" ht="15" customHeight="1" x14ac:dyDescent="0.15">
      <c r="B46" t="s">
        <v>80</v>
      </c>
      <c r="C46" s="12">
        <v>65</v>
      </c>
      <c r="D46" s="8">
        <v>1.64</v>
      </c>
      <c r="E46" s="12">
        <v>7</v>
      </c>
      <c r="F46" s="8">
        <v>0.37</v>
      </c>
      <c r="G46" s="12">
        <v>56</v>
      </c>
      <c r="H46" s="8">
        <v>2.71</v>
      </c>
      <c r="I46" s="12">
        <v>2</v>
      </c>
    </row>
    <row r="47" spans="2:9" ht="15" customHeight="1" x14ac:dyDescent="0.15">
      <c r="B47" t="s">
        <v>95</v>
      </c>
      <c r="C47" s="12">
        <v>56</v>
      </c>
      <c r="D47" s="8">
        <v>1.42</v>
      </c>
      <c r="E47" s="12">
        <v>2</v>
      </c>
      <c r="F47" s="8">
        <v>0.11</v>
      </c>
      <c r="G47" s="12">
        <v>54</v>
      </c>
      <c r="H47" s="8">
        <v>2.61</v>
      </c>
      <c r="I47" s="12">
        <v>0</v>
      </c>
    </row>
    <row r="48" spans="2:9" ht="15" customHeight="1" x14ac:dyDescent="0.15">
      <c r="B48" t="s">
        <v>97</v>
      </c>
      <c r="C48" s="12">
        <v>51</v>
      </c>
      <c r="D48" s="8">
        <v>1.29</v>
      </c>
      <c r="E48" s="12">
        <v>4</v>
      </c>
      <c r="F48" s="8">
        <v>0.21</v>
      </c>
      <c r="G48" s="12">
        <v>46</v>
      </c>
      <c r="H48" s="8">
        <v>2.2200000000000002</v>
      </c>
      <c r="I48" s="12">
        <v>1</v>
      </c>
    </row>
    <row r="51" spans="2:9" ht="33" customHeight="1" x14ac:dyDescent="0.15">
      <c r="B51" t="s">
        <v>230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141</v>
      </c>
      <c r="C52" s="12">
        <v>213</v>
      </c>
      <c r="D52" s="8">
        <v>5.39</v>
      </c>
      <c r="E52" s="12">
        <v>176</v>
      </c>
      <c r="F52" s="8">
        <v>9.42</v>
      </c>
      <c r="G52" s="12">
        <v>37</v>
      </c>
      <c r="H52" s="8">
        <v>1.79</v>
      </c>
      <c r="I52" s="12">
        <v>0</v>
      </c>
    </row>
    <row r="53" spans="2:9" ht="15" customHeight="1" x14ac:dyDescent="0.15">
      <c r="B53" t="s">
        <v>143</v>
      </c>
      <c r="C53" s="12">
        <v>160</v>
      </c>
      <c r="D53" s="8">
        <v>4.05</v>
      </c>
      <c r="E53" s="12">
        <v>109</v>
      </c>
      <c r="F53" s="8">
        <v>5.83</v>
      </c>
      <c r="G53" s="12">
        <v>48</v>
      </c>
      <c r="H53" s="8">
        <v>2.3199999999999998</v>
      </c>
      <c r="I53" s="12">
        <v>3</v>
      </c>
    </row>
    <row r="54" spans="2:9" ht="15" customHeight="1" x14ac:dyDescent="0.15">
      <c r="B54" t="s">
        <v>134</v>
      </c>
      <c r="C54" s="12">
        <v>146</v>
      </c>
      <c r="D54" s="8">
        <v>3.69</v>
      </c>
      <c r="E54" s="12">
        <v>41</v>
      </c>
      <c r="F54" s="8">
        <v>2.19</v>
      </c>
      <c r="G54" s="12">
        <v>105</v>
      </c>
      <c r="H54" s="8">
        <v>5.07</v>
      </c>
      <c r="I54" s="12">
        <v>0</v>
      </c>
    </row>
    <row r="55" spans="2:9" ht="15" customHeight="1" x14ac:dyDescent="0.15">
      <c r="B55" t="s">
        <v>144</v>
      </c>
      <c r="C55" s="12">
        <v>130</v>
      </c>
      <c r="D55" s="8">
        <v>3.29</v>
      </c>
      <c r="E55" s="12">
        <v>106</v>
      </c>
      <c r="F55" s="8">
        <v>5.67</v>
      </c>
      <c r="G55" s="12">
        <v>24</v>
      </c>
      <c r="H55" s="8">
        <v>1.1599999999999999</v>
      </c>
      <c r="I55" s="12">
        <v>0</v>
      </c>
    </row>
    <row r="56" spans="2:9" ht="15" customHeight="1" x14ac:dyDescent="0.15">
      <c r="B56" t="s">
        <v>136</v>
      </c>
      <c r="C56" s="12">
        <v>114</v>
      </c>
      <c r="D56" s="8">
        <v>2.88</v>
      </c>
      <c r="E56" s="12">
        <v>101</v>
      </c>
      <c r="F56" s="8">
        <v>5.4</v>
      </c>
      <c r="G56" s="12">
        <v>13</v>
      </c>
      <c r="H56" s="8">
        <v>0.63</v>
      </c>
      <c r="I56" s="12">
        <v>0</v>
      </c>
    </row>
    <row r="57" spans="2:9" ht="15" customHeight="1" x14ac:dyDescent="0.15">
      <c r="B57" t="s">
        <v>132</v>
      </c>
      <c r="C57" s="12">
        <v>106</v>
      </c>
      <c r="D57" s="8">
        <v>2.68</v>
      </c>
      <c r="E57" s="12">
        <v>78</v>
      </c>
      <c r="F57" s="8">
        <v>4.17</v>
      </c>
      <c r="G57" s="12">
        <v>27</v>
      </c>
      <c r="H57" s="8">
        <v>1.3</v>
      </c>
      <c r="I57" s="12">
        <v>1</v>
      </c>
    </row>
    <row r="58" spans="2:9" ht="15" customHeight="1" x14ac:dyDescent="0.15">
      <c r="B58" t="s">
        <v>138</v>
      </c>
      <c r="C58" s="12">
        <v>105</v>
      </c>
      <c r="D58" s="8">
        <v>2.66</v>
      </c>
      <c r="E58" s="12">
        <v>90</v>
      </c>
      <c r="F58" s="8">
        <v>4.82</v>
      </c>
      <c r="G58" s="12">
        <v>15</v>
      </c>
      <c r="H58" s="8">
        <v>0.72</v>
      </c>
      <c r="I58" s="12">
        <v>0</v>
      </c>
    </row>
    <row r="59" spans="2:9" ht="15" customHeight="1" x14ac:dyDescent="0.15">
      <c r="B59" t="s">
        <v>149</v>
      </c>
      <c r="C59" s="12">
        <v>102</v>
      </c>
      <c r="D59" s="8">
        <v>2.58</v>
      </c>
      <c r="E59" s="12">
        <v>2</v>
      </c>
      <c r="F59" s="8">
        <v>0.11</v>
      </c>
      <c r="G59" s="12">
        <v>100</v>
      </c>
      <c r="H59" s="8">
        <v>4.83</v>
      </c>
      <c r="I59" s="12">
        <v>0</v>
      </c>
    </row>
    <row r="60" spans="2:9" ht="15" customHeight="1" x14ac:dyDescent="0.15">
      <c r="B60" t="s">
        <v>135</v>
      </c>
      <c r="C60" s="12">
        <v>99</v>
      </c>
      <c r="D60" s="8">
        <v>2.5099999999999998</v>
      </c>
      <c r="E60" s="12">
        <v>83</v>
      </c>
      <c r="F60" s="8">
        <v>4.4400000000000004</v>
      </c>
      <c r="G60" s="12">
        <v>16</v>
      </c>
      <c r="H60" s="8">
        <v>0.77</v>
      </c>
      <c r="I60" s="12">
        <v>0</v>
      </c>
    </row>
    <row r="61" spans="2:9" ht="15" customHeight="1" x14ac:dyDescent="0.15">
      <c r="B61" t="s">
        <v>139</v>
      </c>
      <c r="C61" s="12">
        <v>89</v>
      </c>
      <c r="D61" s="8">
        <v>2.25</v>
      </c>
      <c r="E61" s="12">
        <v>41</v>
      </c>
      <c r="F61" s="8">
        <v>2.19</v>
      </c>
      <c r="G61" s="12">
        <v>48</v>
      </c>
      <c r="H61" s="8">
        <v>2.3199999999999998</v>
      </c>
      <c r="I61" s="12">
        <v>0</v>
      </c>
    </row>
    <row r="62" spans="2:9" ht="15" customHeight="1" x14ac:dyDescent="0.15">
      <c r="B62" t="s">
        <v>133</v>
      </c>
      <c r="C62" s="12">
        <v>78</v>
      </c>
      <c r="D62" s="8">
        <v>1.97</v>
      </c>
      <c r="E62" s="12">
        <v>19</v>
      </c>
      <c r="F62" s="8">
        <v>1.02</v>
      </c>
      <c r="G62" s="12">
        <v>59</v>
      </c>
      <c r="H62" s="8">
        <v>2.85</v>
      </c>
      <c r="I62" s="12">
        <v>0</v>
      </c>
    </row>
    <row r="63" spans="2:9" ht="15" customHeight="1" x14ac:dyDescent="0.15">
      <c r="B63" t="s">
        <v>128</v>
      </c>
      <c r="C63" s="12">
        <v>77</v>
      </c>
      <c r="D63" s="8">
        <v>1.95</v>
      </c>
      <c r="E63" s="12">
        <v>44</v>
      </c>
      <c r="F63" s="8">
        <v>2.35</v>
      </c>
      <c r="G63" s="12">
        <v>33</v>
      </c>
      <c r="H63" s="8">
        <v>1.59</v>
      </c>
      <c r="I63" s="12">
        <v>0</v>
      </c>
    </row>
    <row r="64" spans="2:9" ht="15" customHeight="1" x14ac:dyDescent="0.15">
      <c r="B64" t="s">
        <v>140</v>
      </c>
      <c r="C64" s="12">
        <v>77</v>
      </c>
      <c r="D64" s="8">
        <v>1.95</v>
      </c>
      <c r="E64" s="12">
        <v>65</v>
      </c>
      <c r="F64" s="8">
        <v>3.48</v>
      </c>
      <c r="G64" s="12">
        <v>12</v>
      </c>
      <c r="H64" s="8">
        <v>0.57999999999999996</v>
      </c>
      <c r="I64" s="12">
        <v>0</v>
      </c>
    </row>
    <row r="65" spans="2:9" ht="15" customHeight="1" x14ac:dyDescent="0.15">
      <c r="B65" t="s">
        <v>142</v>
      </c>
      <c r="C65" s="12">
        <v>65</v>
      </c>
      <c r="D65" s="8">
        <v>1.64</v>
      </c>
      <c r="E65" s="12">
        <v>35</v>
      </c>
      <c r="F65" s="8">
        <v>1.87</v>
      </c>
      <c r="G65" s="12">
        <v>30</v>
      </c>
      <c r="H65" s="8">
        <v>1.45</v>
      </c>
      <c r="I65" s="12">
        <v>0</v>
      </c>
    </row>
    <row r="66" spans="2:9" ht="15" customHeight="1" x14ac:dyDescent="0.15">
      <c r="B66" t="s">
        <v>126</v>
      </c>
      <c r="C66" s="12">
        <v>64</v>
      </c>
      <c r="D66" s="8">
        <v>1.62</v>
      </c>
      <c r="E66" s="12">
        <v>8</v>
      </c>
      <c r="F66" s="8">
        <v>0.43</v>
      </c>
      <c r="G66" s="12">
        <v>56</v>
      </c>
      <c r="H66" s="8">
        <v>2.71</v>
      </c>
      <c r="I66" s="12">
        <v>0</v>
      </c>
    </row>
    <row r="67" spans="2:9" ht="15" customHeight="1" x14ac:dyDescent="0.15">
      <c r="B67" t="s">
        <v>146</v>
      </c>
      <c r="C67" s="12">
        <v>62</v>
      </c>
      <c r="D67" s="8">
        <v>1.57</v>
      </c>
      <c r="E67" s="12">
        <v>36</v>
      </c>
      <c r="F67" s="8">
        <v>1.93</v>
      </c>
      <c r="G67" s="12">
        <v>26</v>
      </c>
      <c r="H67" s="8">
        <v>1.26</v>
      </c>
      <c r="I67" s="12">
        <v>0</v>
      </c>
    </row>
    <row r="68" spans="2:9" ht="15" customHeight="1" x14ac:dyDescent="0.15">
      <c r="B68" t="s">
        <v>147</v>
      </c>
      <c r="C68" s="12">
        <v>56</v>
      </c>
      <c r="D68" s="8">
        <v>1.42</v>
      </c>
      <c r="E68" s="12">
        <v>13</v>
      </c>
      <c r="F68" s="8">
        <v>0.7</v>
      </c>
      <c r="G68" s="12">
        <v>43</v>
      </c>
      <c r="H68" s="8">
        <v>2.08</v>
      </c>
      <c r="I68" s="12">
        <v>0</v>
      </c>
    </row>
    <row r="69" spans="2:9" ht="15" customHeight="1" x14ac:dyDescent="0.15">
      <c r="B69" t="s">
        <v>129</v>
      </c>
      <c r="C69" s="12">
        <v>54</v>
      </c>
      <c r="D69" s="8">
        <v>1.37</v>
      </c>
      <c r="E69" s="12">
        <v>28</v>
      </c>
      <c r="F69" s="8">
        <v>1.5</v>
      </c>
      <c r="G69" s="12">
        <v>26</v>
      </c>
      <c r="H69" s="8">
        <v>1.26</v>
      </c>
      <c r="I69" s="12">
        <v>0</v>
      </c>
    </row>
    <row r="70" spans="2:9" ht="15" customHeight="1" x14ac:dyDescent="0.15">
      <c r="B70" t="s">
        <v>137</v>
      </c>
      <c r="C70" s="12">
        <v>53</v>
      </c>
      <c r="D70" s="8">
        <v>1.34</v>
      </c>
      <c r="E70" s="12">
        <v>52</v>
      </c>
      <c r="F70" s="8">
        <v>2.78</v>
      </c>
      <c r="G70" s="12">
        <v>1</v>
      </c>
      <c r="H70" s="8">
        <v>0.05</v>
      </c>
      <c r="I70" s="12">
        <v>0</v>
      </c>
    </row>
    <row r="71" spans="2:9" ht="15" customHeight="1" x14ac:dyDescent="0.15">
      <c r="B71" t="s">
        <v>152</v>
      </c>
      <c r="C71" s="12">
        <v>52</v>
      </c>
      <c r="D71" s="8">
        <v>1.32</v>
      </c>
      <c r="E71" s="12">
        <v>49</v>
      </c>
      <c r="F71" s="8">
        <v>2.62</v>
      </c>
      <c r="G71" s="12">
        <v>3</v>
      </c>
      <c r="H71" s="8">
        <v>0.14000000000000001</v>
      </c>
      <c r="I71" s="12">
        <v>0</v>
      </c>
    </row>
    <row r="73" spans="2:9" ht="15" customHeight="1" x14ac:dyDescent="0.15">
      <c r="B73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235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295</v>
      </c>
      <c r="D6" s="8">
        <v>9.09</v>
      </c>
      <c r="E6" s="12">
        <v>66</v>
      </c>
      <c r="F6" s="8">
        <v>3.43</v>
      </c>
      <c r="G6" s="12">
        <v>229</v>
      </c>
      <c r="H6" s="8">
        <v>17.36</v>
      </c>
      <c r="I6" s="12">
        <v>0</v>
      </c>
    </row>
    <row r="7" spans="2:9" ht="15" customHeight="1" x14ac:dyDescent="0.15">
      <c r="B7" t="s">
        <v>53</v>
      </c>
      <c r="C7" s="12">
        <v>117</v>
      </c>
      <c r="D7" s="8">
        <v>3.61</v>
      </c>
      <c r="E7" s="12">
        <v>43</v>
      </c>
      <c r="F7" s="8">
        <v>2.23</v>
      </c>
      <c r="G7" s="12">
        <v>74</v>
      </c>
      <c r="H7" s="8">
        <v>5.61</v>
      </c>
      <c r="I7" s="12">
        <v>0</v>
      </c>
    </row>
    <row r="8" spans="2:9" ht="15" customHeight="1" x14ac:dyDescent="0.15">
      <c r="B8" t="s">
        <v>54</v>
      </c>
      <c r="C8" s="12">
        <v>1</v>
      </c>
      <c r="D8" s="8">
        <v>0.03</v>
      </c>
      <c r="E8" s="12">
        <v>0</v>
      </c>
      <c r="F8" s="8">
        <v>0</v>
      </c>
      <c r="G8" s="12">
        <v>1</v>
      </c>
      <c r="H8" s="8">
        <v>0.08</v>
      </c>
      <c r="I8" s="12">
        <v>0</v>
      </c>
    </row>
    <row r="9" spans="2:9" ht="15" customHeight="1" x14ac:dyDescent="0.15">
      <c r="B9" t="s">
        <v>55</v>
      </c>
      <c r="C9" s="12">
        <v>27</v>
      </c>
      <c r="D9" s="8">
        <v>0.83</v>
      </c>
      <c r="E9" s="12">
        <v>2</v>
      </c>
      <c r="F9" s="8">
        <v>0.1</v>
      </c>
      <c r="G9" s="12">
        <v>25</v>
      </c>
      <c r="H9" s="8">
        <v>1.9</v>
      </c>
      <c r="I9" s="12">
        <v>0</v>
      </c>
    </row>
    <row r="10" spans="2:9" ht="15" customHeight="1" x14ac:dyDescent="0.15">
      <c r="B10" t="s">
        <v>56</v>
      </c>
      <c r="C10" s="12">
        <v>44</v>
      </c>
      <c r="D10" s="8">
        <v>1.36</v>
      </c>
      <c r="E10" s="12">
        <v>13</v>
      </c>
      <c r="F10" s="8">
        <v>0.68</v>
      </c>
      <c r="G10" s="12">
        <v>31</v>
      </c>
      <c r="H10" s="8">
        <v>2.35</v>
      </c>
      <c r="I10" s="12">
        <v>0</v>
      </c>
    </row>
    <row r="11" spans="2:9" ht="15" customHeight="1" x14ac:dyDescent="0.15">
      <c r="B11" t="s">
        <v>57</v>
      </c>
      <c r="C11" s="12">
        <v>837</v>
      </c>
      <c r="D11" s="8">
        <v>25.79</v>
      </c>
      <c r="E11" s="12">
        <v>483</v>
      </c>
      <c r="F11" s="8">
        <v>25.09</v>
      </c>
      <c r="G11" s="12">
        <v>354</v>
      </c>
      <c r="H11" s="8">
        <v>26.84</v>
      </c>
      <c r="I11" s="12">
        <v>0</v>
      </c>
    </row>
    <row r="12" spans="2:9" ht="15" customHeight="1" x14ac:dyDescent="0.15">
      <c r="B12" t="s">
        <v>58</v>
      </c>
      <c r="C12" s="12">
        <v>13</v>
      </c>
      <c r="D12" s="8">
        <v>0.4</v>
      </c>
      <c r="E12" s="12">
        <v>5</v>
      </c>
      <c r="F12" s="8">
        <v>0.26</v>
      </c>
      <c r="G12" s="12">
        <v>8</v>
      </c>
      <c r="H12" s="8">
        <v>0.61</v>
      </c>
      <c r="I12" s="12">
        <v>0</v>
      </c>
    </row>
    <row r="13" spans="2:9" ht="15" customHeight="1" x14ac:dyDescent="0.15">
      <c r="B13" t="s">
        <v>59</v>
      </c>
      <c r="C13" s="12">
        <v>365</v>
      </c>
      <c r="D13" s="8">
        <v>11.25</v>
      </c>
      <c r="E13" s="12">
        <v>125</v>
      </c>
      <c r="F13" s="8">
        <v>6.49</v>
      </c>
      <c r="G13" s="12">
        <v>240</v>
      </c>
      <c r="H13" s="8">
        <v>18.2</v>
      </c>
      <c r="I13" s="12">
        <v>0</v>
      </c>
    </row>
    <row r="14" spans="2:9" ht="15" customHeight="1" x14ac:dyDescent="0.15">
      <c r="B14" t="s">
        <v>60</v>
      </c>
      <c r="C14" s="12">
        <v>138</v>
      </c>
      <c r="D14" s="8">
        <v>4.25</v>
      </c>
      <c r="E14" s="12">
        <v>88</v>
      </c>
      <c r="F14" s="8">
        <v>4.57</v>
      </c>
      <c r="G14" s="12">
        <v>49</v>
      </c>
      <c r="H14" s="8">
        <v>3.71</v>
      </c>
      <c r="I14" s="12">
        <v>1</v>
      </c>
    </row>
    <row r="15" spans="2:9" ht="15" customHeight="1" x14ac:dyDescent="0.15">
      <c r="B15" t="s">
        <v>61</v>
      </c>
      <c r="C15" s="12">
        <v>582</v>
      </c>
      <c r="D15" s="8">
        <v>17.940000000000001</v>
      </c>
      <c r="E15" s="12">
        <v>519</v>
      </c>
      <c r="F15" s="8">
        <v>26.96</v>
      </c>
      <c r="G15" s="12">
        <v>63</v>
      </c>
      <c r="H15" s="8">
        <v>4.78</v>
      </c>
      <c r="I15" s="12">
        <v>0</v>
      </c>
    </row>
    <row r="16" spans="2:9" ht="15" customHeight="1" x14ac:dyDescent="0.15">
      <c r="B16" t="s">
        <v>62</v>
      </c>
      <c r="C16" s="12">
        <v>385</v>
      </c>
      <c r="D16" s="8">
        <v>11.86</v>
      </c>
      <c r="E16" s="12">
        <v>308</v>
      </c>
      <c r="F16" s="8">
        <v>16</v>
      </c>
      <c r="G16" s="12">
        <v>77</v>
      </c>
      <c r="H16" s="8">
        <v>5.84</v>
      </c>
      <c r="I16" s="12">
        <v>0</v>
      </c>
    </row>
    <row r="17" spans="2:9" ht="15" customHeight="1" x14ac:dyDescent="0.15">
      <c r="B17" t="s">
        <v>63</v>
      </c>
      <c r="C17" s="12">
        <v>131</v>
      </c>
      <c r="D17" s="8">
        <v>4.04</v>
      </c>
      <c r="E17" s="12">
        <v>90</v>
      </c>
      <c r="F17" s="8">
        <v>4.68</v>
      </c>
      <c r="G17" s="12">
        <v>41</v>
      </c>
      <c r="H17" s="8">
        <v>3.11</v>
      </c>
      <c r="I17" s="12">
        <v>0</v>
      </c>
    </row>
    <row r="18" spans="2:9" ht="15" customHeight="1" x14ac:dyDescent="0.15">
      <c r="B18" t="s">
        <v>64</v>
      </c>
      <c r="C18" s="12">
        <v>212</v>
      </c>
      <c r="D18" s="8">
        <v>6.53</v>
      </c>
      <c r="E18" s="12">
        <v>142</v>
      </c>
      <c r="F18" s="8">
        <v>7.38</v>
      </c>
      <c r="G18" s="12">
        <v>70</v>
      </c>
      <c r="H18" s="8">
        <v>5.31</v>
      </c>
      <c r="I18" s="12">
        <v>0</v>
      </c>
    </row>
    <row r="19" spans="2:9" ht="15" customHeight="1" x14ac:dyDescent="0.15">
      <c r="B19" t="s">
        <v>65</v>
      </c>
      <c r="C19" s="12">
        <v>98</v>
      </c>
      <c r="D19" s="8">
        <v>3.02</v>
      </c>
      <c r="E19" s="12">
        <v>41</v>
      </c>
      <c r="F19" s="8">
        <v>2.13</v>
      </c>
      <c r="G19" s="12">
        <v>57</v>
      </c>
      <c r="H19" s="8">
        <v>4.32</v>
      </c>
      <c r="I19" s="12">
        <v>0</v>
      </c>
    </row>
    <row r="20" spans="2:9" ht="15" customHeight="1" x14ac:dyDescent="0.15">
      <c r="B20" s="9" t="s">
        <v>215</v>
      </c>
      <c r="C20" s="12">
        <f>SUM(LTBL_28102[総数／事業所数])</f>
        <v>3245</v>
      </c>
      <c r="E20" s="12">
        <f>SUBTOTAL(109,LTBL_28102[個人／事業所数])</f>
        <v>1925</v>
      </c>
      <c r="G20" s="12">
        <f>SUBTOTAL(109,LTBL_28102[法人／事業所数])</f>
        <v>1319</v>
      </c>
      <c r="I20" s="12">
        <f>SUBTOTAL(109,LTBL_28102[法人以外の団体／事業所数])</f>
        <v>1</v>
      </c>
    </row>
    <row r="21" spans="2:9" ht="15" customHeight="1" x14ac:dyDescent="0.15">
      <c r="E21" s="11">
        <f>LTBL_28102[[#Totals],[個人／事業所数]]/LTBL_28102[[#Totals],[総数／事業所数]]</f>
        <v>0.59322033898305082</v>
      </c>
      <c r="G21" s="11">
        <f>LTBL_28102[[#Totals],[法人／事業所数]]/LTBL_28102[[#Totals],[総数／事業所数]]</f>
        <v>0.40647149460708781</v>
      </c>
      <c r="I21" s="11">
        <f>LTBL_28102[[#Totals],[法人以外の団体／事業所数]]/LTBL_28102[[#Totals],[総数／事業所数]]</f>
        <v>3.0816640986132513E-4</v>
      </c>
    </row>
    <row r="23" spans="2:9" ht="33" customHeight="1" x14ac:dyDescent="0.15">
      <c r="B23" t="s">
        <v>214</v>
      </c>
      <c r="C23" s="10" t="s">
        <v>67</v>
      </c>
      <c r="D23" s="10" t="s">
        <v>236</v>
      </c>
      <c r="E23" s="10" t="s">
        <v>69</v>
      </c>
      <c r="F23" s="10" t="s">
        <v>237</v>
      </c>
      <c r="G23" s="10" t="s">
        <v>71</v>
      </c>
      <c r="H23" s="10" t="s">
        <v>223</v>
      </c>
      <c r="I23" s="10" t="s">
        <v>73</v>
      </c>
    </row>
    <row r="24" spans="2:9" ht="15" customHeight="1" x14ac:dyDescent="0.15">
      <c r="B24" t="s">
        <v>217</v>
      </c>
      <c r="C24">
        <v>3</v>
      </c>
      <c r="D24" t="s">
        <v>216</v>
      </c>
      <c r="E24">
        <v>0</v>
      </c>
      <c r="F24" t="s">
        <v>218</v>
      </c>
      <c r="G24">
        <v>3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238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89</v>
      </c>
      <c r="C29" s="12">
        <v>548</v>
      </c>
      <c r="D29" s="8">
        <v>16.89</v>
      </c>
      <c r="E29" s="12">
        <v>508</v>
      </c>
      <c r="F29" s="8">
        <v>26.39</v>
      </c>
      <c r="G29" s="12">
        <v>40</v>
      </c>
      <c r="H29" s="8">
        <v>3.03</v>
      </c>
      <c r="I29" s="12">
        <v>0</v>
      </c>
    </row>
    <row r="30" spans="2:9" ht="15" customHeight="1" x14ac:dyDescent="0.15">
      <c r="B30" t="s">
        <v>90</v>
      </c>
      <c r="C30" s="12">
        <v>324</v>
      </c>
      <c r="D30" s="8">
        <v>9.98</v>
      </c>
      <c r="E30" s="12">
        <v>280</v>
      </c>
      <c r="F30" s="8">
        <v>14.55</v>
      </c>
      <c r="G30" s="12">
        <v>44</v>
      </c>
      <c r="H30" s="8">
        <v>3.34</v>
      </c>
      <c r="I30" s="12">
        <v>0</v>
      </c>
    </row>
    <row r="31" spans="2:9" ht="15" customHeight="1" x14ac:dyDescent="0.15">
      <c r="B31" t="s">
        <v>86</v>
      </c>
      <c r="C31" s="12">
        <v>257</v>
      </c>
      <c r="D31" s="8">
        <v>7.92</v>
      </c>
      <c r="E31" s="12">
        <v>110</v>
      </c>
      <c r="F31" s="8">
        <v>5.71</v>
      </c>
      <c r="G31" s="12">
        <v>147</v>
      </c>
      <c r="H31" s="8">
        <v>11.14</v>
      </c>
      <c r="I31" s="12">
        <v>0</v>
      </c>
    </row>
    <row r="32" spans="2:9" ht="15" customHeight="1" x14ac:dyDescent="0.15">
      <c r="B32" t="s">
        <v>84</v>
      </c>
      <c r="C32" s="12">
        <v>234</v>
      </c>
      <c r="D32" s="8">
        <v>7.21</v>
      </c>
      <c r="E32" s="12">
        <v>159</v>
      </c>
      <c r="F32" s="8">
        <v>8.26</v>
      </c>
      <c r="G32" s="12">
        <v>75</v>
      </c>
      <c r="H32" s="8">
        <v>5.69</v>
      </c>
      <c r="I32" s="12">
        <v>0</v>
      </c>
    </row>
    <row r="33" spans="2:9" ht="15" customHeight="1" x14ac:dyDescent="0.15">
      <c r="B33" t="s">
        <v>82</v>
      </c>
      <c r="C33" s="12">
        <v>210</v>
      </c>
      <c r="D33" s="8">
        <v>6.47</v>
      </c>
      <c r="E33" s="12">
        <v>154</v>
      </c>
      <c r="F33" s="8">
        <v>8</v>
      </c>
      <c r="G33" s="12">
        <v>56</v>
      </c>
      <c r="H33" s="8">
        <v>4.25</v>
      </c>
      <c r="I33" s="12">
        <v>0</v>
      </c>
    </row>
    <row r="34" spans="2:9" ht="15" customHeight="1" x14ac:dyDescent="0.15">
      <c r="B34" t="s">
        <v>93</v>
      </c>
      <c r="C34" s="12">
        <v>162</v>
      </c>
      <c r="D34" s="8">
        <v>4.99</v>
      </c>
      <c r="E34" s="12">
        <v>141</v>
      </c>
      <c r="F34" s="8">
        <v>7.32</v>
      </c>
      <c r="G34" s="12">
        <v>21</v>
      </c>
      <c r="H34" s="8">
        <v>1.59</v>
      </c>
      <c r="I34" s="12">
        <v>0</v>
      </c>
    </row>
    <row r="35" spans="2:9" ht="15" customHeight="1" x14ac:dyDescent="0.15">
      <c r="B35" t="s">
        <v>92</v>
      </c>
      <c r="C35" s="12">
        <v>131</v>
      </c>
      <c r="D35" s="8">
        <v>4.04</v>
      </c>
      <c r="E35" s="12">
        <v>90</v>
      </c>
      <c r="F35" s="8">
        <v>4.68</v>
      </c>
      <c r="G35" s="12">
        <v>41</v>
      </c>
      <c r="H35" s="8">
        <v>3.11</v>
      </c>
      <c r="I35" s="12">
        <v>0</v>
      </c>
    </row>
    <row r="36" spans="2:9" ht="15" customHeight="1" x14ac:dyDescent="0.15">
      <c r="B36" t="s">
        <v>74</v>
      </c>
      <c r="C36" s="12">
        <v>120</v>
      </c>
      <c r="D36" s="8">
        <v>3.7</v>
      </c>
      <c r="E36" s="12">
        <v>28</v>
      </c>
      <c r="F36" s="8">
        <v>1.45</v>
      </c>
      <c r="G36" s="12">
        <v>92</v>
      </c>
      <c r="H36" s="8">
        <v>6.97</v>
      </c>
      <c r="I36" s="12">
        <v>0</v>
      </c>
    </row>
    <row r="37" spans="2:9" ht="15" customHeight="1" x14ac:dyDescent="0.15">
      <c r="B37" t="s">
        <v>81</v>
      </c>
      <c r="C37" s="12">
        <v>119</v>
      </c>
      <c r="D37" s="8">
        <v>3.67</v>
      </c>
      <c r="E37" s="12">
        <v>83</v>
      </c>
      <c r="F37" s="8">
        <v>4.3099999999999996</v>
      </c>
      <c r="G37" s="12">
        <v>36</v>
      </c>
      <c r="H37" s="8">
        <v>2.73</v>
      </c>
      <c r="I37" s="12">
        <v>0</v>
      </c>
    </row>
    <row r="38" spans="2:9" ht="15" customHeight="1" x14ac:dyDescent="0.15">
      <c r="B38" t="s">
        <v>85</v>
      </c>
      <c r="C38" s="12">
        <v>101</v>
      </c>
      <c r="D38" s="8">
        <v>3.11</v>
      </c>
      <c r="E38" s="12">
        <v>13</v>
      </c>
      <c r="F38" s="8">
        <v>0.68</v>
      </c>
      <c r="G38" s="12">
        <v>88</v>
      </c>
      <c r="H38" s="8">
        <v>6.67</v>
      </c>
      <c r="I38" s="12">
        <v>0</v>
      </c>
    </row>
    <row r="39" spans="2:9" ht="15" customHeight="1" x14ac:dyDescent="0.15">
      <c r="B39" t="s">
        <v>76</v>
      </c>
      <c r="C39" s="12">
        <v>99</v>
      </c>
      <c r="D39" s="8">
        <v>3.05</v>
      </c>
      <c r="E39" s="12">
        <v>21</v>
      </c>
      <c r="F39" s="8">
        <v>1.0900000000000001</v>
      </c>
      <c r="G39" s="12">
        <v>78</v>
      </c>
      <c r="H39" s="8">
        <v>5.91</v>
      </c>
      <c r="I39" s="12">
        <v>0</v>
      </c>
    </row>
    <row r="40" spans="2:9" ht="15" customHeight="1" x14ac:dyDescent="0.15">
      <c r="B40" t="s">
        <v>83</v>
      </c>
      <c r="C40" s="12">
        <v>81</v>
      </c>
      <c r="D40" s="8">
        <v>2.5</v>
      </c>
      <c r="E40" s="12">
        <v>48</v>
      </c>
      <c r="F40" s="8">
        <v>2.4900000000000002</v>
      </c>
      <c r="G40" s="12">
        <v>33</v>
      </c>
      <c r="H40" s="8">
        <v>2.5</v>
      </c>
      <c r="I40" s="12">
        <v>0</v>
      </c>
    </row>
    <row r="41" spans="2:9" ht="15" customHeight="1" x14ac:dyDescent="0.15">
      <c r="B41" t="s">
        <v>75</v>
      </c>
      <c r="C41" s="12">
        <v>76</v>
      </c>
      <c r="D41" s="8">
        <v>2.34</v>
      </c>
      <c r="E41" s="12">
        <v>17</v>
      </c>
      <c r="F41" s="8">
        <v>0.88</v>
      </c>
      <c r="G41" s="12">
        <v>59</v>
      </c>
      <c r="H41" s="8">
        <v>4.47</v>
      </c>
      <c r="I41" s="12">
        <v>0</v>
      </c>
    </row>
    <row r="42" spans="2:9" ht="15" customHeight="1" x14ac:dyDescent="0.15">
      <c r="B42" t="s">
        <v>87</v>
      </c>
      <c r="C42" s="12">
        <v>75</v>
      </c>
      <c r="D42" s="8">
        <v>2.31</v>
      </c>
      <c r="E42" s="12">
        <v>50</v>
      </c>
      <c r="F42" s="8">
        <v>2.6</v>
      </c>
      <c r="G42" s="12">
        <v>25</v>
      </c>
      <c r="H42" s="8">
        <v>1.9</v>
      </c>
      <c r="I42" s="12">
        <v>0</v>
      </c>
    </row>
    <row r="43" spans="2:9" ht="15" customHeight="1" x14ac:dyDescent="0.15">
      <c r="B43" t="s">
        <v>88</v>
      </c>
      <c r="C43" s="12">
        <v>62</v>
      </c>
      <c r="D43" s="8">
        <v>1.91</v>
      </c>
      <c r="E43" s="12">
        <v>38</v>
      </c>
      <c r="F43" s="8">
        <v>1.97</v>
      </c>
      <c r="G43" s="12">
        <v>23</v>
      </c>
      <c r="H43" s="8">
        <v>1.74</v>
      </c>
      <c r="I43" s="12">
        <v>1</v>
      </c>
    </row>
    <row r="44" spans="2:9" ht="15" customHeight="1" x14ac:dyDescent="0.15">
      <c r="B44" t="s">
        <v>94</v>
      </c>
      <c r="C44" s="12">
        <v>50</v>
      </c>
      <c r="D44" s="8">
        <v>1.54</v>
      </c>
      <c r="E44" s="12">
        <v>1</v>
      </c>
      <c r="F44" s="8">
        <v>0.05</v>
      </c>
      <c r="G44" s="12">
        <v>49</v>
      </c>
      <c r="H44" s="8">
        <v>3.71</v>
      </c>
      <c r="I44" s="12">
        <v>0</v>
      </c>
    </row>
    <row r="45" spans="2:9" ht="15" customHeight="1" x14ac:dyDescent="0.15">
      <c r="B45" t="s">
        <v>78</v>
      </c>
      <c r="C45" s="12">
        <v>42</v>
      </c>
      <c r="D45" s="8">
        <v>1.29</v>
      </c>
      <c r="E45" s="12">
        <v>7</v>
      </c>
      <c r="F45" s="8">
        <v>0.36</v>
      </c>
      <c r="G45" s="12">
        <v>35</v>
      </c>
      <c r="H45" s="8">
        <v>2.65</v>
      </c>
      <c r="I45" s="12">
        <v>0</v>
      </c>
    </row>
    <row r="46" spans="2:9" ht="15" customHeight="1" x14ac:dyDescent="0.15">
      <c r="B46" t="s">
        <v>80</v>
      </c>
      <c r="C46" s="12">
        <v>41</v>
      </c>
      <c r="D46" s="8">
        <v>1.26</v>
      </c>
      <c r="E46" s="12">
        <v>8</v>
      </c>
      <c r="F46" s="8">
        <v>0.42</v>
      </c>
      <c r="G46" s="12">
        <v>33</v>
      </c>
      <c r="H46" s="8">
        <v>2.5</v>
      </c>
      <c r="I46" s="12">
        <v>0</v>
      </c>
    </row>
    <row r="47" spans="2:9" ht="15" customHeight="1" x14ac:dyDescent="0.15">
      <c r="B47" t="s">
        <v>91</v>
      </c>
      <c r="C47" s="12">
        <v>41</v>
      </c>
      <c r="D47" s="8">
        <v>1.26</v>
      </c>
      <c r="E47" s="12">
        <v>16</v>
      </c>
      <c r="F47" s="8">
        <v>0.83</v>
      </c>
      <c r="G47" s="12">
        <v>25</v>
      </c>
      <c r="H47" s="8">
        <v>1.9</v>
      </c>
      <c r="I47" s="12">
        <v>0</v>
      </c>
    </row>
    <row r="48" spans="2:9" ht="15" customHeight="1" x14ac:dyDescent="0.15">
      <c r="B48" t="s">
        <v>79</v>
      </c>
      <c r="C48" s="12">
        <v>37</v>
      </c>
      <c r="D48" s="8">
        <v>1.1399999999999999</v>
      </c>
      <c r="E48" s="12">
        <v>6</v>
      </c>
      <c r="F48" s="8">
        <v>0.31</v>
      </c>
      <c r="G48" s="12">
        <v>31</v>
      </c>
      <c r="H48" s="8">
        <v>2.35</v>
      </c>
      <c r="I48" s="12">
        <v>0</v>
      </c>
    </row>
    <row r="49" spans="2:9" ht="15" customHeight="1" x14ac:dyDescent="0.15">
      <c r="B49" t="s">
        <v>97</v>
      </c>
      <c r="C49" s="12">
        <v>37</v>
      </c>
      <c r="D49" s="8">
        <v>1.1399999999999999</v>
      </c>
      <c r="E49" s="12">
        <v>8</v>
      </c>
      <c r="F49" s="8">
        <v>0.42</v>
      </c>
      <c r="G49" s="12">
        <v>29</v>
      </c>
      <c r="H49" s="8">
        <v>2.2000000000000002</v>
      </c>
      <c r="I49" s="12">
        <v>0</v>
      </c>
    </row>
    <row r="52" spans="2:9" ht="33" customHeight="1" x14ac:dyDescent="0.15">
      <c r="B52" t="s">
        <v>230</v>
      </c>
      <c r="C52" s="10" t="s">
        <v>67</v>
      </c>
      <c r="D52" s="10" t="s">
        <v>68</v>
      </c>
      <c r="E52" s="10" t="s">
        <v>69</v>
      </c>
      <c r="F52" s="10" t="s">
        <v>70</v>
      </c>
      <c r="G52" s="10" t="s">
        <v>71</v>
      </c>
      <c r="H52" s="10" t="s">
        <v>72</v>
      </c>
      <c r="I52" s="10" t="s">
        <v>73</v>
      </c>
    </row>
    <row r="53" spans="2:9" ht="15" customHeight="1" x14ac:dyDescent="0.15">
      <c r="B53" t="s">
        <v>141</v>
      </c>
      <c r="C53" s="12">
        <v>167</v>
      </c>
      <c r="D53" s="8">
        <v>5.15</v>
      </c>
      <c r="E53" s="12">
        <v>152</v>
      </c>
      <c r="F53" s="8">
        <v>7.9</v>
      </c>
      <c r="G53" s="12">
        <v>15</v>
      </c>
      <c r="H53" s="8">
        <v>1.1399999999999999</v>
      </c>
      <c r="I53" s="12">
        <v>0</v>
      </c>
    </row>
    <row r="54" spans="2:9" ht="15" customHeight="1" x14ac:dyDescent="0.15">
      <c r="B54" t="s">
        <v>134</v>
      </c>
      <c r="C54" s="12">
        <v>154</v>
      </c>
      <c r="D54" s="8">
        <v>4.75</v>
      </c>
      <c r="E54" s="12">
        <v>85</v>
      </c>
      <c r="F54" s="8">
        <v>4.42</v>
      </c>
      <c r="G54" s="12">
        <v>69</v>
      </c>
      <c r="H54" s="8">
        <v>5.23</v>
      </c>
      <c r="I54" s="12">
        <v>0</v>
      </c>
    </row>
    <row r="55" spans="2:9" ht="15" customHeight="1" x14ac:dyDescent="0.15">
      <c r="B55" t="s">
        <v>135</v>
      </c>
      <c r="C55" s="12">
        <v>132</v>
      </c>
      <c r="D55" s="8">
        <v>4.07</v>
      </c>
      <c r="E55" s="12">
        <v>115</v>
      </c>
      <c r="F55" s="8">
        <v>5.97</v>
      </c>
      <c r="G55" s="12">
        <v>17</v>
      </c>
      <c r="H55" s="8">
        <v>1.29</v>
      </c>
      <c r="I55" s="12">
        <v>0</v>
      </c>
    </row>
    <row r="56" spans="2:9" ht="15" customHeight="1" x14ac:dyDescent="0.15">
      <c r="B56" t="s">
        <v>136</v>
      </c>
      <c r="C56" s="12">
        <v>117</v>
      </c>
      <c r="D56" s="8">
        <v>3.61</v>
      </c>
      <c r="E56" s="12">
        <v>112</v>
      </c>
      <c r="F56" s="8">
        <v>5.82</v>
      </c>
      <c r="G56" s="12">
        <v>5</v>
      </c>
      <c r="H56" s="8">
        <v>0.38</v>
      </c>
      <c r="I56" s="12">
        <v>0</v>
      </c>
    </row>
    <row r="57" spans="2:9" ht="15" customHeight="1" x14ac:dyDescent="0.15">
      <c r="B57" t="s">
        <v>144</v>
      </c>
      <c r="C57" s="12">
        <v>108</v>
      </c>
      <c r="D57" s="8">
        <v>3.33</v>
      </c>
      <c r="E57" s="12">
        <v>93</v>
      </c>
      <c r="F57" s="8">
        <v>4.83</v>
      </c>
      <c r="G57" s="12">
        <v>15</v>
      </c>
      <c r="H57" s="8">
        <v>1.1399999999999999</v>
      </c>
      <c r="I57" s="12">
        <v>0</v>
      </c>
    </row>
    <row r="58" spans="2:9" ht="15" customHeight="1" x14ac:dyDescent="0.15">
      <c r="B58" t="s">
        <v>132</v>
      </c>
      <c r="C58" s="12">
        <v>106</v>
      </c>
      <c r="D58" s="8">
        <v>3.27</v>
      </c>
      <c r="E58" s="12">
        <v>79</v>
      </c>
      <c r="F58" s="8">
        <v>4.0999999999999996</v>
      </c>
      <c r="G58" s="12">
        <v>27</v>
      </c>
      <c r="H58" s="8">
        <v>2.0499999999999998</v>
      </c>
      <c r="I58" s="12">
        <v>0</v>
      </c>
    </row>
    <row r="59" spans="2:9" ht="15" customHeight="1" x14ac:dyDescent="0.15">
      <c r="B59" t="s">
        <v>138</v>
      </c>
      <c r="C59" s="12">
        <v>100</v>
      </c>
      <c r="D59" s="8">
        <v>3.08</v>
      </c>
      <c r="E59" s="12">
        <v>94</v>
      </c>
      <c r="F59" s="8">
        <v>4.88</v>
      </c>
      <c r="G59" s="12">
        <v>6</v>
      </c>
      <c r="H59" s="8">
        <v>0.45</v>
      </c>
      <c r="I59" s="12">
        <v>0</v>
      </c>
    </row>
    <row r="60" spans="2:9" ht="15" customHeight="1" x14ac:dyDescent="0.15">
      <c r="B60" t="s">
        <v>137</v>
      </c>
      <c r="C60" s="12">
        <v>92</v>
      </c>
      <c r="D60" s="8">
        <v>2.84</v>
      </c>
      <c r="E60" s="12">
        <v>92</v>
      </c>
      <c r="F60" s="8">
        <v>4.78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143</v>
      </c>
      <c r="C61" s="12">
        <v>90</v>
      </c>
      <c r="D61" s="8">
        <v>2.77</v>
      </c>
      <c r="E61" s="12">
        <v>68</v>
      </c>
      <c r="F61" s="8">
        <v>3.53</v>
      </c>
      <c r="G61" s="12">
        <v>22</v>
      </c>
      <c r="H61" s="8">
        <v>1.67</v>
      </c>
      <c r="I61" s="12">
        <v>0</v>
      </c>
    </row>
    <row r="62" spans="2:9" ht="15" customHeight="1" x14ac:dyDescent="0.15">
      <c r="B62" t="s">
        <v>129</v>
      </c>
      <c r="C62" s="12">
        <v>83</v>
      </c>
      <c r="D62" s="8">
        <v>2.56</v>
      </c>
      <c r="E62" s="12">
        <v>61</v>
      </c>
      <c r="F62" s="8">
        <v>3.17</v>
      </c>
      <c r="G62" s="12">
        <v>22</v>
      </c>
      <c r="H62" s="8">
        <v>1.67</v>
      </c>
      <c r="I62" s="12">
        <v>0</v>
      </c>
    </row>
    <row r="63" spans="2:9" ht="15" customHeight="1" x14ac:dyDescent="0.15">
      <c r="B63" t="s">
        <v>140</v>
      </c>
      <c r="C63" s="12">
        <v>79</v>
      </c>
      <c r="D63" s="8">
        <v>2.4300000000000002</v>
      </c>
      <c r="E63" s="12">
        <v>76</v>
      </c>
      <c r="F63" s="8">
        <v>3.95</v>
      </c>
      <c r="G63" s="12">
        <v>3</v>
      </c>
      <c r="H63" s="8">
        <v>0.23</v>
      </c>
      <c r="I63" s="12">
        <v>0</v>
      </c>
    </row>
    <row r="64" spans="2:9" ht="15" customHeight="1" x14ac:dyDescent="0.15">
      <c r="B64" t="s">
        <v>133</v>
      </c>
      <c r="C64" s="12">
        <v>76</v>
      </c>
      <c r="D64" s="8">
        <v>2.34</v>
      </c>
      <c r="E64" s="12">
        <v>13</v>
      </c>
      <c r="F64" s="8">
        <v>0.68</v>
      </c>
      <c r="G64" s="12">
        <v>63</v>
      </c>
      <c r="H64" s="8">
        <v>4.78</v>
      </c>
      <c r="I64" s="12">
        <v>0</v>
      </c>
    </row>
    <row r="65" spans="2:9" ht="15" customHeight="1" x14ac:dyDescent="0.15">
      <c r="B65" t="s">
        <v>128</v>
      </c>
      <c r="C65" s="12">
        <v>57</v>
      </c>
      <c r="D65" s="8">
        <v>1.76</v>
      </c>
      <c r="E65" s="12">
        <v>44</v>
      </c>
      <c r="F65" s="8">
        <v>2.29</v>
      </c>
      <c r="G65" s="12">
        <v>13</v>
      </c>
      <c r="H65" s="8">
        <v>0.99</v>
      </c>
      <c r="I65" s="12">
        <v>0</v>
      </c>
    </row>
    <row r="66" spans="2:9" ht="15" customHeight="1" x14ac:dyDescent="0.15">
      <c r="B66" t="s">
        <v>139</v>
      </c>
      <c r="C66" s="12">
        <v>53</v>
      </c>
      <c r="D66" s="8">
        <v>1.63</v>
      </c>
      <c r="E66" s="12">
        <v>34</v>
      </c>
      <c r="F66" s="8">
        <v>1.77</v>
      </c>
      <c r="G66" s="12">
        <v>19</v>
      </c>
      <c r="H66" s="8">
        <v>1.44</v>
      </c>
      <c r="I66" s="12">
        <v>0</v>
      </c>
    </row>
    <row r="67" spans="2:9" ht="15" customHeight="1" x14ac:dyDescent="0.15">
      <c r="B67" t="s">
        <v>151</v>
      </c>
      <c r="C67" s="12">
        <v>51</v>
      </c>
      <c r="D67" s="8">
        <v>1.57</v>
      </c>
      <c r="E67" s="12">
        <v>49</v>
      </c>
      <c r="F67" s="8">
        <v>2.5499999999999998</v>
      </c>
      <c r="G67" s="12">
        <v>2</v>
      </c>
      <c r="H67" s="8">
        <v>0.15</v>
      </c>
      <c r="I67" s="12">
        <v>0</v>
      </c>
    </row>
    <row r="68" spans="2:9" ht="15" customHeight="1" x14ac:dyDescent="0.15">
      <c r="B68" t="s">
        <v>149</v>
      </c>
      <c r="C68" s="12">
        <v>50</v>
      </c>
      <c r="D68" s="8">
        <v>1.54</v>
      </c>
      <c r="E68" s="12">
        <v>3</v>
      </c>
      <c r="F68" s="8">
        <v>0.16</v>
      </c>
      <c r="G68" s="12">
        <v>47</v>
      </c>
      <c r="H68" s="8">
        <v>3.56</v>
      </c>
      <c r="I68" s="12">
        <v>0</v>
      </c>
    </row>
    <row r="69" spans="2:9" ht="15" customHeight="1" x14ac:dyDescent="0.15">
      <c r="B69" t="s">
        <v>131</v>
      </c>
      <c r="C69" s="12">
        <v>47</v>
      </c>
      <c r="D69" s="8">
        <v>1.45</v>
      </c>
      <c r="E69" s="12">
        <v>27</v>
      </c>
      <c r="F69" s="8">
        <v>1.4</v>
      </c>
      <c r="G69" s="12">
        <v>20</v>
      </c>
      <c r="H69" s="8">
        <v>1.52</v>
      </c>
      <c r="I69" s="12">
        <v>0</v>
      </c>
    </row>
    <row r="70" spans="2:9" ht="15" customHeight="1" x14ac:dyDescent="0.15">
      <c r="B70" t="s">
        <v>153</v>
      </c>
      <c r="C70" s="12">
        <v>46</v>
      </c>
      <c r="D70" s="8">
        <v>1.42</v>
      </c>
      <c r="E70" s="12">
        <v>10</v>
      </c>
      <c r="F70" s="8">
        <v>0.52</v>
      </c>
      <c r="G70" s="12">
        <v>36</v>
      </c>
      <c r="H70" s="8">
        <v>2.73</v>
      </c>
      <c r="I70" s="12">
        <v>0</v>
      </c>
    </row>
    <row r="71" spans="2:9" ht="15" customHeight="1" x14ac:dyDescent="0.15">
      <c r="B71" t="s">
        <v>146</v>
      </c>
      <c r="C71" s="12">
        <v>46</v>
      </c>
      <c r="D71" s="8">
        <v>1.42</v>
      </c>
      <c r="E71" s="12">
        <v>31</v>
      </c>
      <c r="F71" s="8">
        <v>1.61</v>
      </c>
      <c r="G71" s="12">
        <v>15</v>
      </c>
      <c r="H71" s="8">
        <v>1.1399999999999999</v>
      </c>
      <c r="I71" s="12">
        <v>0</v>
      </c>
    </row>
    <row r="72" spans="2:9" ht="15" customHeight="1" x14ac:dyDescent="0.15">
      <c r="B72" t="s">
        <v>130</v>
      </c>
      <c r="C72" s="12">
        <v>42</v>
      </c>
      <c r="D72" s="8">
        <v>1.29</v>
      </c>
      <c r="E72" s="12">
        <v>24</v>
      </c>
      <c r="F72" s="8">
        <v>1.25</v>
      </c>
      <c r="G72" s="12">
        <v>18</v>
      </c>
      <c r="H72" s="8">
        <v>1.36</v>
      </c>
      <c r="I72" s="12">
        <v>0</v>
      </c>
    </row>
    <row r="74" spans="2:9" ht="15" customHeight="1" x14ac:dyDescent="0.15">
      <c r="B74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239</v>
      </c>
    </row>
    <row r="4" spans="2:9" ht="33" customHeight="1" x14ac:dyDescent="0.15">
      <c r="B4" t="s">
        <v>214</v>
      </c>
      <c r="C4" s="10" t="s">
        <v>67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</row>
    <row r="5" spans="2:9" ht="15" customHeight="1" x14ac:dyDescent="0.15">
      <c r="B5" t="s">
        <v>51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52</v>
      </c>
      <c r="C6" s="12">
        <v>357</v>
      </c>
      <c r="D6" s="8">
        <v>8.31</v>
      </c>
      <c r="E6" s="12">
        <v>92</v>
      </c>
      <c r="F6" s="8">
        <v>3.42</v>
      </c>
      <c r="G6" s="12">
        <v>265</v>
      </c>
      <c r="H6" s="8">
        <v>16.53</v>
      </c>
      <c r="I6" s="12">
        <v>0</v>
      </c>
    </row>
    <row r="7" spans="2:9" ht="15" customHeight="1" x14ac:dyDescent="0.15">
      <c r="B7" t="s">
        <v>53</v>
      </c>
      <c r="C7" s="12">
        <v>430</v>
      </c>
      <c r="D7" s="8">
        <v>10.01</v>
      </c>
      <c r="E7" s="12">
        <v>172</v>
      </c>
      <c r="F7" s="8">
        <v>6.4</v>
      </c>
      <c r="G7" s="12">
        <v>258</v>
      </c>
      <c r="H7" s="8">
        <v>16.09</v>
      </c>
      <c r="I7" s="12">
        <v>0</v>
      </c>
    </row>
    <row r="8" spans="2:9" ht="15" customHeight="1" x14ac:dyDescent="0.15">
      <c r="B8" t="s">
        <v>54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55</v>
      </c>
      <c r="C9" s="12">
        <v>22</v>
      </c>
      <c r="D9" s="8">
        <v>0.51</v>
      </c>
      <c r="E9" s="12">
        <v>3</v>
      </c>
      <c r="F9" s="8">
        <v>0.11</v>
      </c>
      <c r="G9" s="12">
        <v>19</v>
      </c>
      <c r="H9" s="8">
        <v>1.19</v>
      </c>
      <c r="I9" s="12">
        <v>0</v>
      </c>
    </row>
    <row r="10" spans="2:9" ht="15" customHeight="1" x14ac:dyDescent="0.15">
      <c r="B10" t="s">
        <v>56</v>
      </c>
      <c r="C10" s="12">
        <v>44</v>
      </c>
      <c r="D10" s="8">
        <v>1.02</v>
      </c>
      <c r="E10" s="12">
        <v>13</v>
      </c>
      <c r="F10" s="8">
        <v>0.48</v>
      </c>
      <c r="G10" s="12">
        <v>31</v>
      </c>
      <c r="H10" s="8">
        <v>1.93</v>
      </c>
      <c r="I10" s="12">
        <v>0</v>
      </c>
    </row>
    <row r="11" spans="2:9" ht="15" customHeight="1" x14ac:dyDescent="0.15">
      <c r="B11" t="s">
        <v>57</v>
      </c>
      <c r="C11" s="12">
        <v>1200</v>
      </c>
      <c r="D11" s="8">
        <v>27.93</v>
      </c>
      <c r="E11" s="12">
        <v>708</v>
      </c>
      <c r="F11" s="8">
        <v>26.35</v>
      </c>
      <c r="G11" s="12">
        <v>492</v>
      </c>
      <c r="H11" s="8">
        <v>30.69</v>
      </c>
      <c r="I11" s="12">
        <v>0</v>
      </c>
    </row>
    <row r="12" spans="2:9" ht="15" customHeight="1" x14ac:dyDescent="0.15">
      <c r="B12" t="s">
        <v>58</v>
      </c>
      <c r="C12" s="12">
        <v>16</v>
      </c>
      <c r="D12" s="8">
        <v>0.37</v>
      </c>
      <c r="E12" s="12">
        <v>3</v>
      </c>
      <c r="F12" s="8">
        <v>0.11</v>
      </c>
      <c r="G12" s="12">
        <v>13</v>
      </c>
      <c r="H12" s="8">
        <v>0.81</v>
      </c>
      <c r="I12" s="12">
        <v>0</v>
      </c>
    </row>
    <row r="13" spans="2:9" ht="15" customHeight="1" x14ac:dyDescent="0.15">
      <c r="B13" t="s">
        <v>59</v>
      </c>
      <c r="C13" s="12">
        <v>450</v>
      </c>
      <c r="D13" s="8">
        <v>10.47</v>
      </c>
      <c r="E13" s="12">
        <v>221</v>
      </c>
      <c r="F13" s="8">
        <v>8.2200000000000006</v>
      </c>
      <c r="G13" s="12">
        <v>228</v>
      </c>
      <c r="H13" s="8">
        <v>14.22</v>
      </c>
      <c r="I13" s="12">
        <v>1</v>
      </c>
    </row>
    <row r="14" spans="2:9" ht="15" customHeight="1" x14ac:dyDescent="0.15">
      <c r="B14" t="s">
        <v>60</v>
      </c>
      <c r="C14" s="12">
        <v>155</v>
      </c>
      <c r="D14" s="8">
        <v>3.61</v>
      </c>
      <c r="E14" s="12">
        <v>94</v>
      </c>
      <c r="F14" s="8">
        <v>3.5</v>
      </c>
      <c r="G14" s="12">
        <v>61</v>
      </c>
      <c r="H14" s="8">
        <v>3.81</v>
      </c>
      <c r="I14" s="12">
        <v>0</v>
      </c>
    </row>
    <row r="15" spans="2:9" ht="15" customHeight="1" x14ac:dyDescent="0.15">
      <c r="B15" t="s">
        <v>61</v>
      </c>
      <c r="C15" s="12">
        <v>885</v>
      </c>
      <c r="D15" s="8">
        <v>20.6</v>
      </c>
      <c r="E15" s="12">
        <v>828</v>
      </c>
      <c r="F15" s="8">
        <v>30.82</v>
      </c>
      <c r="G15" s="12">
        <v>57</v>
      </c>
      <c r="H15" s="8">
        <v>3.56</v>
      </c>
      <c r="I15" s="12">
        <v>0</v>
      </c>
    </row>
    <row r="16" spans="2:9" ht="15" customHeight="1" x14ac:dyDescent="0.15">
      <c r="B16" t="s">
        <v>62</v>
      </c>
      <c r="C16" s="12">
        <v>402</v>
      </c>
      <c r="D16" s="8">
        <v>9.36</v>
      </c>
      <c r="E16" s="12">
        <v>324</v>
      </c>
      <c r="F16" s="8">
        <v>12.06</v>
      </c>
      <c r="G16" s="12">
        <v>77</v>
      </c>
      <c r="H16" s="8">
        <v>4.8</v>
      </c>
      <c r="I16" s="12">
        <v>1</v>
      </c>
    </row>
    <row r="17" spans="2:9" ht="15" customHeight="1" x14ac:dyDescent="0.15">
      <c r="B17" t="s">
        <v>63</v>
      </c>
      <c r="C17" s="12">
        <v>77</v>
      </c>
      <c r="D17" s="8">
        <v>1.79</v>
      </c>
      <c r="E17" s="12">
        <v>65</v>
      </c>
      <c r="F17" s="8">
        <v>2.42</v>
      </c>
      <c r="G17" s="12">
        <v>10</v>
      </c>
      <c r="H17" s="8">
        <v>0.62</v>
      </c>
      <c r="I17" s="12">
        <v>2</v>
      </c>
    </row>
    <row r="18" spans="2:9" ht="15" customHeight="1" x14ac:dyDescent="0.15">
      <c r="B18" t="s">
        <v>64</v>
      </c>
      <c r="C18" s="12">
        <v>155</v>
      </c>
      <c r="D18" s="8">
        <v>3.61</v>
      </c>
      <c r="E18" s="12">
        <v>118</v>
      </c>
      <c r="F18" s="8">
        <v>4.3899999999999997</v>
      </c>
      <c r="G18" s="12">
        <v>37</v>
      </c>
      <c r="H18" s="8">
        <v>2.31</v>
      </c>
      <c r="I18" s="12">
        <v>0</v>
      </c>
    </row>
    <row r="19" spans="2:9" ht="15" customHeight="1" x14ac:dyDescent="0.15">
      <c r="B19" t="s">
        <v>65</v>
      </c>
      <c r="C19" s="12">
        <v>103</v>
      </c>
      <c r="D19" s="8">
        <v>2.4</v>
      </c>
      <c r="E19" s="12">
        <v>46</v>
      </c>
      <c r="F19" s="8">
        <v>1.71</v>
      </c>
      <c r="G19" s="12">
        <v>55</v>
      </c>
      <c r="H19" s="8">
        <v>3.43</v>
      </c>
      <c r="I19" s="12">
        <v>2</v>
      </c>
    </row>
    <row r="20" spans="2:9" ht="15" customHeight="1" x14ac:dyDescent="0.15">
      <c r="B20" s="9" t="s">
        <v>215</v>
      </c>
      <c r="C20" s="12">
        <f>SUM(LTBL_28105[総数／事業所数])</f>
        <v>4296</v>
      </c>
      <c r="E20" s="12">
        <f>SUBTOTAL(109,LTBL_28105[個人／事業所数])</f>
        <v>2687</v>
      </c>
      <c r="G20" s="12">
        <f>SUBTOTAL(109,LTBL_28105[法人／事業所数])</f>
        <v>1603</v>
      </c>
      <c r="I20" s="12">
        <f>SUBTOTAL(109,LTBL_28105[法人以外の団体／事業所数])</f>
        <v>6</v>
      </c>
    </row>
    <row r="21" spans="2:9" ht="15" customHeight="1" x14ac:dyDescent="0.15">
      <c r="E21" s="11">
        <f>LTBL_28105[[#Totals],[個人／事業所数]]/LTBL_28105[[#Totals],[総数／事業所数]]</f>
        <v>0.62546554934823095</v>
      </c>
      <c r="G21" s="11">
        <f>LTBL_28105[[#Totals],[法人／事業所数]]/LTBL_28105[[#Totals],[総数／事業所数]]</f>
        <v>0.37313780260707635</v>
      </c>
      <c r="I21" s="11">
        <f>LTBL_28105[[#Totals],[法人以外の団体／事業所数]]/LTBL_28105[[#Totals],[総数／事業所数]]</f>
        <v>1.3966480446927375E-3</v>
      </c>
    </row>
    <row r="23" spans="2:9" ht="33" customHeight="1" x14ac:dyDescent="0.15">
      <c r="B23" t="s">
        <v>214</v>
      </c>
      <c r="C23" s="10" t="s">
        <v>67</v>
      </c>
      <c r="D23" s="10" t="s">
        <v>221</v>
      </c>
      <c r="E23" s="10" t="s">
        <v>69</v>
      </c>
      <c r="F23" s="10" t="s">
        <v>240</v>
      </c>
      <c r="G23" s="10" t="s">
        <v>71</v>
      </c>
      <c r="H23" s="10" t="s">
        <v>223</v>
      </c>
      <c r="I23" s="10" t="s">
        <v>73</v>
      </c>
    </row>
    <row r="24" spans="2:9" ht="15" customHeight="1" x14ac:dyDescent="0.15">
      <c r="B24" t="s">
        <v>217</v>
      </c>
      <c r="C24">
        <v>3</v>
      </c>
      <c r="D24" t="s">
        <v>216</v>
      </c>
      <c r="E24">
        <v>0</v>
      </c>
      <c r="F24" t="s">
        <v>218</v>
      </c>
      <c r="G24">
        <v>3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229</v>
      </c>
      <c r="C28" s="10" t="s">
        <v>67</v>
      </c>
      <c r="D28" s="10" t="s">
        <v>68</v>
      </c>
      <c r="E28" s="10" t="s">
        <v>69</v>
      </c>
      <c r="F28" s="10" t="s">
        <v>70</v>
      </c>
      <c r="G28" s="10" t="s">
        <v>71</v>
      </c>
      <c r="H28" s="10" t="s">
        <v>72</v>
      </c>
      <c r="I28" s="10" t="s">
        <v>73</v>
      </c>
    </row>
    <row r="29" spans="2:9" ht="15" customHeight="1" x14ac:dyDescent="0.15">
      <c r="B29" t="s">
        <v>89</v>
      </c>
      <c r="C29" s="12">
        <v>844</v>
      </c>
      <c r="D29" s="8">
        <v>19.649999999999999</v>
      </c>
      <c r="E29" s="12">
        <v>803</v>
      </c>
      <c r="F29" s="8">
        <v>29.88</v>
      </c>
      <c r="G29" s="12">
        <v>41</v>
      </c>
      <c r="H29" s="8">
        <v>2.56</v>
      </c>
      <c r="I29" s="12">
        <v>0</v>
      </c>
    </row>
    <row r="30" spans="2:9" ht="15" customHeight="1" x14ac:dyDescent="0.15">
      <c r="B30" t="s">
        <v>86</v>
      </c>
      <c r="C30" s="12">
        <v>362</v>
      </c>
      <c r="D30" s="8">
        <v>8.43</v>
      </c>
      <c r="E30" s="12">
        <v>204</v>
      </c>
      <c r="F30" s="8">
        <v>7.59</v>
      </c>
      <c r="G30" s="12">
        <v>157</v>
      </c>
      <c r="H30" s="8">
        <v>9.7899999999999991</v>
      </c>
      <c r="I30" s="12">
        <v>1</v>
      </c>
    </row>
    <row r="31" spans="2:9" ht="15" customHeight="1" x14ac:dyDescent="0.15">
      <c r="B31" t="s">
        <v>90</v>
      </c>
      <c r="C31" s="12">
        <v>331</v>
      </c>
      <c r="D31" s="8">
        <v>7.7</v>
      </c>
      <c r="E31" s="12">
        <v>284</v>
      </c>
      <c r="F31" s="8">
        <v>10.57</v>
      </c>
      <c r="G31" s="12">
        <v>47</v>
      </c>
      <c r="H31" s="8">
        <v>2.93</v>
      </c>
      <c r="I31" s="12">
        <v>0</v>
      </c>
    </row>
    <row r="32" spans="2:9" ht="15" customHeight="1" x14ac:dyDescent="0.15">
      <c r="B32" t="s">
        <v>84</v>
      </c>
      <c r="C32" s="12">
        <v>307</v>
      </c>
      <c r="D32" s="8">
        <v>7.15</v>
      </c>
      <c r="E32" s="12">
        <v>216</v>
      </c>
      <c r="F32" s="8">
        <v>8.0399999999999991</v>
      </c>
      <c r="G32" s="12">
        <v>91</v>
      </c>
      <c r="H32" s="8">
        <v>5.68</v>
      </c>
      <c r="I32" s="12">
        <v>0</v>
      </c>
    </row>
    <row r="33" spans="2:9" ht="15" customHeight="1" x14ac:dyDescent="0.15">
      <c r="B33" t="s">
        <v>82</v>
      </c>
      <c r="C33" s="12">
        <v>304</v>
      </c>
      <c r="D33" s="8">
        <v>7.08</v>
      </c>
      <c r="E33" s="12">
        <v>233</v>
      </c>
      <c r="F33" s="8">
        <v>8.67</v>
      </c>
      <c r="G33" s="12">
        <v>71</v>
      </c>
      <c r="H33" s="8">
        <v>4.43</v>
      </c>
      <c r="I33" s="12">
        <v>0</v>
      </c>
    </row>
    <row r="34" spans="2:9" ht="15" customHeight="1" x14ac:dyDescent="0.15">
      <c r="B34" t="s">
        <v>81</v>
      </c>
      <c r="C34" s="12">
        <v>147</v>
      </c>
      <c r="D34" s="8">
        <v>3.42</v>
      </c>
      <c r="E34" s="12">
        <v>114</v>
      </c>
      <c r="F34" s="8">
        <v>4.24</v>
      </c>
      <c r="G34" s="12">
        <v>33</v>
      </c>
      <c r="H34" s="8">
        <v>2.06</v>
      </c>
      <c r="I34" s="12">
        <v>0</v>
      </c>
    </row>
    <row r="35" spans="2:9" ht="15" customHeight="1" x14ac:dyDescent="0.15">
      <c r="B35" t="s">
        <v>74</v>
      </c>
      <c r="C35" s="12">
        <v>129</v>
      </c>
      <c r="D35" s="8">
        <v>3</v>
      </c>
      <c r="E35" s="12">
        <v>35</v>
      </c>
      <c r="F35" s="8">
        <v>1.3</v>
      </c>
      <c r="G35" s="12">
        <v>94</v>
      </c>
      <c r="H35" s="8">
        <v>5.86</v>
      </c>
      <c r="I35" s="12">
        <v>0</v>
      </c>
    </row>
    <row r="36" spans="2:9" ht="15" customHeight="1" x14ac:dyDescent="0.15">
      <c r="B36" t="s">
        <v>93</v>
      </c>
      <c r="C36" s="12">
        <v>124</v>
      </c>
      <c r="D36" s="8">
        <v>2.89</v>
      </c>
      <c r="E36" s="12">
        <v>114</v>
      </c>
      <c r="F36" s="8">
        <v>4.24</v>
      </c>
      <c r="G36" s="12">
        <v>10</v>
      </c>
      <c r="H36" s="8">
        <v>0.62</v>
      </c>
      <c r="I36" s="12">
        <v>0</v>
      </c>
    </row>
    <row r="37" spans="2:9" ht="15" customHeight="1" x14ac:dyDescent="0.15">
      <c r="B37" t="s">
        <v>75</v>
      </c>
      <c r="C37" s="12">
        <v>115</v>
      </c>
      <c r="D37" s="8">
        <v>2.68</v>
      </c>
      <c r="E37" s="12">
        <v>30</v>
      </c>
      <c r="F37" s="8">
        <v>1.1200000000000001</v>
      </c>
      <c r="G37" s="12">
        <v>85</v>
      </c>
      <c r="H37" s="8">
        <v>5.3</v>
      </c>
      <c r="I37" s="12">
        <v>0</v>
      </c>
    </row>
    <row r="38" spans="2:9" ht="15" customHeight="1" x14ac:dyDescent="0.15">
      <c r="B38" t="s">
        <v>76</v>
      </c>
      <c r="C38" s="12">
        <v>113</v>
      </c>
      <c r="D38" s="8">
        <v>2.63</v>
      </c>
      <c r="E38" s="12">
        <v>27</v>
      </c>
      <c r="F38" s="8">
        <v>1</v>
      </c>
      <c r="G38" s="12">
        <v>86</v>
      </c>
      <c r="H38" s="8">
        <v>5.36</v>
      </c>
      <c r="I38" s="12">
        <v>0</v>
      </c>
    </row>
    <row r="39" spans="2:9" ht="15" customHeight="1" x14ac:dyDescent="0.15">
      <c r="B39" t="s">
        <v>83</v>
      </c>
      <c r="C39" s="12">
        <v>94</v>
      </c>
      <c r="D39" s="8">
        <v>2.19</v>
      </c>
      <c r="E39" s="12">
        <v>61</v>
      </c>
      <c r="F39" s="8">
        <v>2.27</v>
      </c>
      <c r="G39" s="12">
        <v>33</v>
      </c>
      <c r="H39" s="8">
        <v>2.06</v>
      </c>
      <c r="I39" s="12">
        <v>0</v>
      </c>
    </row>
    <row r="40" spans="2:9" ht="15" customHeight="1" x14ac:dyDescent="0.15">
      <c r="B40" t="s">
        <v>87</v>
      </c>
      <c r="C40" s="12">
        <v>85</v>
      </c>
      <c r="D40" s="8">
        <v>1.98</v>
      </c>
      <c r="E40" s="12">
        <v>65</v>
      </c>
      <c r="F40" s="8">
        <v>2.42</v>
      </c>
      <c r="G40" s="12">
        <v>20</v>
      </c>
      <c r="H40" s="8">
        <v>1.25</v>
      </c>
      <c r="I40" s="12">
        <v>0</v>
      </c>
    </row>
    <row r="41" spans="2:9" ht="15" customHeight="1" x14ac:dyDescent="0.15">
      <c r="B41" t="s">
        <v>79</v>
      </c>
      <c r="C41" s="12">
        <v>84</v>
      </c>
      <c r="D41" s="8">
        <v>1.96</v>
      </c>
      <c r="E41" s="12">
        <v>14</v>
      </c>
      <c r="F41" s="8">
        <v>0.52</v>
      </c>
      <c r="G41" s="12">
        <v>70</v>
      </c>
      <c r="H41" s="8">
        <v>4.37</v>
      </c>
      <c r="I41" s="12">
        <v>0</v>
      </c>
    </row>
    <row r="42" spans="2:9" ht="15" customHeight="1" x14ac:dyDescent="0.15">
      <c r="B42" t="s">
        <v>96</v>
      </c>
      <c r="C42" s="12">
        <v>78</v>
      </c>
      <c r="D42" s="8">
        <v>1.82</v>
      </c>
      <c r="E42" s="12">
        <v>17</v>
      </c>
      <c r="F42" s="8">
        <v>0.63</v>
      </c>
      <c r="G42" s="12">
        <v>61</v>
      </c>
      <c r="H42" s="8">
        <v>3.81</v>
      </c>
      <c r="I42" s="12">
        <v>0</v>
      </c>
    </row>
    <row r="43" spans="2:9" ht="15" customHeight="1" x14ac:dyDescent="0.15">
      <c r="B43" t="s">
        <v>78</v>
      </c>
      <c r="C43" s="12">
        <v>78</v>
      </c>
      <c r="D43" s="8">
        <v>1.82</v>
      </c>
      <c r="E43" s="12">
        <v>19</v>
      </c>
      <c r="F43" s="8">
        <v>0.71</v>
      </c>
      <c r="G43" s="12">
        <v>59</v>
      </c>
      <c r="H43" s="8">
        <v>3.68</v>
      </c>
      <c r="I43" s="12">
        <v>0</v>
      </c>
    </row>
    <row r="44" spans="2:9" ht="15" customHeight="1" x14ac:dyDescent="0.15">
      <c r="B44" t="s">
        <v>92</v>
      </c>
      <c r="C44" s="12">
        <v>77</v>
      </c>
      <c r="D44" s="8">
        <v>1.79</v>
      </c>
      <c r="E44" s="12">
        <v>65</v>
      </c>
      <c r="F44" s="8">
        <v>2.42</v>
      </c>
      <c r="G44" s="12">
        <v>10</v>
      </c>
      <c r="H44" s="8">
        <v>0.62</v>
      </c>
      <c r="I44" s="12">
        <v>2</v>
      </c>
    </row>
    <row r="45" spans="2:9" ht="15" customHeight="1" x14ac:dyDescent="0.15">
      <c r="B45" t="s">
        <v>80</v>
      </c>
      <c r="C45" s="12">
        <v>75</v>
      </c>
      <c r="D45" s="8">
        <v>1.75</v>
      </c>
      <c r="E45" s="12">
        <v>26</v>
      </c>
      <c r="F45" s="8">
        <v>0.97</v>
      </c>
      <c r="G45" s="12">
        <v>49</v>
      </c>
      <c r="H45" s="8">
        <v>3.06</v>
      </c>
      <c r="I45" s="12">
        <v>0</v>
      </c>
    </row>
    <row r="46" spans="2:9" ht="15" customHeight="1" x14ac:dyDescent="0.15">
      <c r="B46" t="s">
        <v>85</v>
      </c>
      <c r="C46" s="12">
        <v>70</v>
      </c>
      <c r="D46" s="8">
        <v>1.63</v>
      </c>
      <c r="E46" s="12">
        <v>13</v>
      </c>
      <c r="F46" s="8">
        <v>0.48</v>
      </c>
      <c r="G46" s="12">
        <v>57</v>
      </c>
      <c r="H46" s="8">
        <v>3.56</v>
      </c>
      <c r="I46" s="12">
        <v>0</v>
      </c>
    </row>
    <row r="47" spans="2:9" ht="15" customHeight="1" x14ac:dyDescent="0.15">
      <c r="B47" t="s">
        <v>98</v>
      </c>
      <c r="C47" s="12">
        <v>66</v>
      </c>
      <c r="D47" s="8">
        <v>1.54</v>
      </c>
      <c r="E47" s="12">
        <v>26</v>
      </c>
      <c r="F47" s="8">
        <v>0.97</v>
      </c>
      <c r="G47" s="12">
        <v>40</v>
      </c>
      <c r="H47" s="8">
        <v>2.5</v>
      </c>
      <c r="I47" s="12">
        <v>0</v>
      </c>
    </row>
    <row r="48" spans="2:9" ht="15" customHeight="1" x14ac:dyDescent="0.15">
      <c r="B48" t="s">
        <v>88</v>
      </c>
      <c r="C48" s="12">
        <v>64</v>
      </c>
      <c r="D48" s="8">
        <v>1.49</v>
      </c>
      <c r="E48" s="12">
        <v>29</v>
      </c>
      <c r="F48" s="8">
        <v>1.08</v>
      </c>
      <c r="G48" s="12">
        <v>35</v>
      </c>
      <c r="H48" s="8">
        <v>2.1800000000000002</v>
      </c>
      <c r="I48" s="12">
        <v>0</v>
      </c>
    </row>
    <row r="51" spans="2:9" ht="33" customHeight="1" x14ac:dyDescent="0.15">
      <c r="B51" t="s">
        <v>230</v>
      </c>
      <c r="C51" s="10" t="s">
        <v>67</v>
      </c>
      <c r="D51" s="10" t="s">
        <v>68</v>
      </c>
      <c r="E51" s="10" t="s">
        <v>69</v>
      </c>
      <c r="F51" s="10" t="s">
        <v>70</v>
      </c>
      <c r="G51" s="10" t="s">
        <v>71</v>
      </c>
      <c r="H51" s="10" t="s">
        <v>72</v>
      </c>
      <c r="I51" s="10" t="s">
        <v>73</v>
      </c>
    </row>
    <row r="52" spans="2:9" ht="15" customHeight="1" x14ac:dyDescent="0.15">
      <c r="B52" t="s">
        <v>138</v>
      </c>
      <c r="C52" s="12">
        <v>214</v>
      </c>
      <c r="D52" s="8">
        <v>4.9800000000000004</v>
      </c>
      <c r="E52" s="12">
        <v>209</v>
      </c>
      <c r="F52" s="8">
        <v>7.78</v>
      </c>
      <c r="G52" s="12">
        <v>5</v>
      </c>
      <c r="H52" s="8">
        <v>0.31</v>
      </c>
      <c r="I52" s="12">
        <v>0</v>
      </c>
    </row>
    <row r="53" spans="2:9" ht="15" customHeight="1" x14ac:dyDescent="0.15">
      <c r="B53" t="s">
        <v>134</v>
      </c>
      <c r="C53" s="12">
        <v>198</v>
      </c>
      <c r="D53" s="8">
        <v>4.6100000000000003</v>
      </c>
      <c r="E53" s="12">
        <v>123</v>
      </c>
      <c r="F53" s="8">
        <v>4.58</v>
      </c>
      <c r="G53" s="12">
        <v>75</v>
      </c>
      <c r="H53" s="8">
        <v>4.68</v>
      </c>
      <c r="I53" s="12">
        <v>0</v>
      </c>
    </row>
    <row r="54" spans="2:9" ht="15" customHeight="1" x14ac:dyDescent="0.15">
      <c r="B54" t="s">
        <v>136</v>
      </c>
      <c r="C54" s="12">
        <v>186</v>
      </c>
      <c r="D54" s="8">
        <v>4.33</v>
      </c>
      <c r="E54" s="12">
        <v>181</v>
      </c>
      <c r="F54" s="8">
        <v>6.74</v>
      </c>
      <c r="G54" s="12">
        <v>5</v>
      </c>
      <c r="H54" s="8">
        <v>0.31</v>
      </c>
      <c r="I54" s="12">
        <v>0</v>
      </c>
    </row>
    <row r="55" spans="2:9" ht="15" customHeight="1" x14ac:dyDescent="0.15">
      <c r="B55" t="s">
        <v>135</v>
      </c>
      <c r="C55" s="12">
        <v>143</v>
      </c>
      <c r="D55" s="8">
        <v>3.33</v>
      </c>
      <c r="E55" s="12">
        <v>129</v>
      </c>
      <c r="F55" s="8">
        <v>4.8</v>
      </c>
      <c r="G55" s="12">
        <v>14</v>
      </c>
      <c r="H55" s="8">
        <v>0.87</v>
      </c>
      <c r="I55" s="12">
        <v>0</v>
      </c>
    </row>
    <row r="56" spans="2:9" ht="15" customHeight="1" x14ac:dyDescent="0.15">
      <c r="B56" t="s">
        <v>132</v>
      </c>
      <c r="C56" s="12">
        <v>142</v>
      </c>
      <c r="D56" s="8">
        <v>3.31</v>
      </c>
      <c r="E56" s="12">
        <v>120</v>
      </c>
      <c r="F56" s="8">
        <v>4.47</v>
      </c>
      <c r="G56" s="12">
        <v>22</v>
      </c>
      <c r="H56" s="8">
        <v>1.37</v>
      </c>
      <c r="I56" s="12">
        <v>0</v>
      </c>
    </row>
    <row r="57" spans="2:9" ht="15" customHeight="1" x14ac:dyDescent="0.15">
      <c r="B57" t="s">
        <v>141</v>
      </c>
      <c r="C57" s="12">
        <v>123</v>
      </c>
      <c r="D57" s="8">
        <v>2.86</v>
      </c>
      <c r="E57" s="12">
        <v>112</v>
      </c>
      <c r="F57" s="8">
        <v>4.17</v>
      </c>
      <c r="G57" s="12">
        <v>11</v>
      </c>
      <c r="H57" s="8">
        <v>0.69</v>
      </c>
      <c r="I57" s="12">
        <v>0</v>
      </c>
    </row>
    <row r="58" spans="2:9" ht="15" customHeight="1" x14ac:dyDescent="0.15">
      <c r="B58" t="s">
        <v>129</v>
      </c>
      <c r="C58" s="12">
        <v>115</v>
      </c>
      <c r="D58" s="8">
        <v>2.68</v>
      </c>
      <c r="E58" s="12">
        <v>87</v>
      </c>
      <c r="F58" s="8">
        <v>3.24</v>
      </c>
      <c r="G58" s="12">
        <v>28</v>
      </c>
      <c r="H58" s="8">
        <v>1.75</v>
      </c>
      <c r="I58" s="12">
        <v>0</v>
      </c>
    </row>
    <row r="59" spans="2:9" ht="15" customHeight="1" x14ac:dyDescent="0.15">
      <c r="B59" t="s">
        <v>137</v>
      </c>
      <c r="C59" s="12">
        <v>107</v>
      </c>
      <c r="D59" s="8">
        <v>2.4900000000000002</v>
      </c>
      <c r="E59" s="12">
        <v>105</v>
      </c>
      <c r="F59" s="8">
        <v>3.91</v>
      </c>
      <c r="G59" s="12">
        <v>2</v>
      </c>
      <c r="H59" s="8">
        <v>0.12</v>
      </c>
      <c r="I59" s="12">
        <v>0</v>
      </c>
    </row>
    <row r="60" spans="2:9" ht="15" customHeight="1" x14ac:dyDescent="0.15">
      <c r="B60" t="s">
        <v>140</v>
      </c>
      <c r="C60" s="12">
        <v>98</v>
      </c>
      <c r="D60" s="8">
        <v>2.2799999999999998</v>
      </c>
      <c r="E60" s="12">
        <v>95</v>
      </c>
      <c r="F60" s="8">
        <v>3.54</v>
      </c>
      <c r="G60" s="12">
        <v>3</v>
      </c>
      <c r="H60" s="8">
        <v>0.19</v>
      </c>
      <c r="I60" s="12">
        <v>0</v>
      </c>
    </row>
    <row r="61" spans="2:9" ht="15" customHeight="1" x14ac:dyDescent="0.15">
      <c r="B61" t="s">
        <v>151</v>
      </c>
      <c r="C61" s="12">
        <v>96</v>
      </c>
      <c r="D61" s="8">
        <v>2.23</v>
      </c>
      <c r="E61" s="12">
        <v>92</v>
      </c>
      <c r="F61" s="8">
        <v>3.42</v>
      </c>
      <c r="G61" s="12">
        <v>4</v>
      </c>
      <c r="H61" s="8">
        <v>0.25</v>
      </c>
      <c r="I61" s="12">
        <v>0</v>
      </c>
    </row>
    <row r="62" spans="2:9" ht="15" customHeight="1" x14ac:dyDescent="0.15">
      <c r="B62" t="s">
        <v>144</v>
      </c>
      <c r="C62" s="12">
        <v>89</v>
      </c>
      <c r="D62" s="8">
        <v>2.0699999999999998</v>
      </c>
      <c r="E62" s="12">
        <v>80</v>
      </c>
      <c r="F62" s="8">
        <v>2.98</v>
      </c>
      <c r="G62" s="12">
        <v>9</v>
      </c>
      <c r="H62" s="8">
        <v>0.56000000000000005</v>
      </c>
      <c r="I62" s="12">
        <v>0</v>
      </c>
    </row>
    <row r="63" spans="2:9" ht="15" customHeight="1" x14ac:dyDescent="0.15">
      <c r="B63" t="s">
        <v>155</v>
      </c>
      <c r="C63" s="12">
        <v>83</v>
      </c>
      <c r="D63" s="8">
        <v>1.93</v>
      </c>
      <c r="E63" s="12">
        <v>69</v>
      </c>
      <c r="F63" s="8">
        <v>2.57</v>
      </c>
      <c r="G63" s="12">
        <v>14</v>
      </c>
      <c r="H63" s="8">
        <v>0.87</v>
      </c>
      <c r="I63" s="12">
        <v>0</v>
      </c>
    </row>
    <row r="64" spans="2:9" ht="15" customHeight="1" x14ac:dyDescent="0.15">
      <c r="B64" t="s">
        <v>139</v>
      </c>
      <c r="C64" s="12">
        <v>77</v>
      </c>
      <c r="D64" s="8">
        <v>1.79</v>
      </c>
      <c r="E64" s="12">
        <v>60</v>
      </c>
      <c r="F64" s="8">
        <v>2.23</v>
      </c>
      <c r="G64" s="12">
        <v>17</v>
      </c>
      <c r="H64" s="8">
        <v>1.06</v>
      </c>
      <c r="I64" s="12">
        <v>0</v>
      </c>
    </row>
    <row r="65" spans="2:9" ht="15" customHeight="1" x14ac:dyDescent="0.15">
      <c r="B65" t="s">
        <v>148</v>
      </c>
      <c r="C65" s="12">
        <v>70</v>
      </c>
      <c r="D65" s="8">
        <v>1.63</v>
      </c>
      <c r="E65" s="12">
        <v>58</v>
      </c>
      <c r="F65" s="8">
        <v>2.16</v>
      </c>
      <c r="G65" s="12">
        <v>12</v>
      </c>
      <c r="H65" s="8">
        <v>0.75</v>
      </c>
      <c r="I65" s="12">
        <v>0</v>
      </c>
    </row>
    <row r="66" spans="2:9" ht="15" customHeight="1" x14ac:dyDescent="0.15">
      <c r="B66" t="s">
        <v>133</v>
      </c>
      <c r="C66" s="12">
        <v>59</v>
      </c>
      <c r="D66" s="8">
        <v>1.37</v>
      </c>
      <c r="E66" s="12">
        <v>12</v>
      </c>
      <c r="F66" s="8">
        <v>0.45</v>
      </c>
      <c r="G66" s="12">
        <v>47</v>
      </c>
      <c r="H66" s="8">
        <v>2.93</v>
      </c>
      <c r="I66" s="12">
        <v>0</v>
      </c>
    </row>
    <row r="67" spans="2:9" ht="15" customHeight="1" x14ac:dyDescent="0.15">
      <c r="B67" t="s">
        <v>127</v>
      </c>
      <c r="C67" s="12">
        <v>57</v>
      </c>
      <c r="D67" s="8">
        <v>1.33</v>
      </c>
      <c r="E67" s="12">
        <v>18</v>
      </c>
      <c r="F67" s="8">
        <v>0.67</v>
      </c>
      <c r="G67" s="12">
        <v>39</v>
      </c>
      <c r="H67" s="8">
        <v>2.4300000000000002</v>
      </c>
      <c r="I67" s="12">
        <v>0</v>
      </c>
    </row>
    <row r="68" spans="2:9" ht="15" customHeight="1" x14ac:dyDescent="0.15">
      <c r="B68" t="s">
        <v>126</v>
      </c>
      <c r="C68" s="12">
        <v>56</v>
      </c>
      <c r="D68" s="8">
        <v>1.3</v>
      </c>
      <c r="E68" s="12">
        <v>11</v>
      </c>
      <c r="F68" s="8">
        <v>0.41</v>
      </c>
      <c r="G68" s="12">
        <v>45</v>
      </c>
      <c r="H68" s="8">
        <v>2.81</v>
      </c>
      <c r="I68" s="12">
        <v>0</v>
      </c>
    </row>
    <row r="69" spans="2:9" ht="15" customHeight="1" x14ac:dyDescent="0.15">
      <c r="B69" t="s">
        <v>128</v>
      </c>
      <c r="C69" s="12">
        <v>54</v>
      </c>
      <c r="D69" s="8">
        <v>1.26</v>
      </c>
      <c r="E69" s="12">
        <v>39</v>
      </c>
      <c r="F69" s="8">
        <v>1.45</v>
      </c>
      <c r="G69" s="12">
        <v>15</v>
      </c>
      <c r="H69" s="8">
        <v>0.94</v>
      </c>
      <c r="I69" s="12">
        <v>0</v>
      </c>
    </row>
    <row r="70" spans="2:9" ht="15" customHeight="1" x14ac:dyDescent="0.15">
      <c r="B70" t="s">
        <v>154</v>
      </c>
      <c r="C70" s="12">
        <v>52</v>
      </c>
      <c r="D70" s="8">
        <v>1.21</v>
      </c>
      <c r="E70" s="12">
        <v>17</v>
      </c>
      <c r="F70" s="8">
        <v>0.63</v>
      </c>
      <c r="G70" s="12">
        <v>35</v>
      </c>
      <c r="H70" s="8">
        <v>2.1800000000000002</v>
      </c>
      <c r="I70" s="12">
        <v>0</v>
      </c>
    </row>
    <row r="71" spans="2:9" ht="15" customHeight="1" x14ac:dyDescent="0.15">
      <c r="B71" t="s">
        <v>131</v>
      </c>
      <c r="C71" s="12">
        <v>51</v>
      </c>
      <c r="D71" s="8">
        <v>1.19</v>
      </c>
      <c r="E71" s="12">
        <v>22</v>
      </c>
      <c r="F71" s="8">
        <v>0.82</v>
      </c>
      <c r="G71" s="12">
        <v>29</v>
      </c>
      <c r="H71" s="8">
        <v>1.81</v>
      </c>
      <c r="I71" s="12">
        <v>0</v>
      </c>
    </row>
    <row r="73" spans="2:9" ht="15" customHeight="1" x14ac:dyDescent="0.15">
      <c r="B73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55</vt:i4>
      </vt:variant>
      <vt:variant>
        <vt:lpstr>名前付き一覧</vt:lpstr>
      </vt:variant>
      <vt:variant>
        <vt:i4>3</vt:i4>
      </vt:variant>
    </vt:vector>
  </HeadingPairs>
  <TitlesOfParts>
    <vt:vector size="58" baseType="lpstr">
      <vt:lpstr>目次</vt:lpstr>
      <vt:lpstr>産業大分類</vt:lpstr>
      <vt:lpstr>産業中分類</vt:lpstr>
      <vt:lpstr>産業小分類</vt:lpstr>
      <vt:lpstr>兵庫県</vt:lpstr>
      <vt:lpstr>神戸市</vt:lpstr>
      <vt:lpstr>神戸市東灘区</vt:lpstr>
      <vt:lpstr>神戸市灘区</vt:lpstr>
      <vt:lpstr>神戸市兵庫区</vt:lpstr>
      <vt:lpstr>神戸市長田区</vt:lpstr>
      <vt:lpstr>神戸市須磨区</vt:lpstr>
      <vt:lpstr>神戸市垂水区</vt:lpstr>
      <vt:lpstr>神戸市北区</vt:lpstr>
      <vt:lpstr>神戸市中央区</vt:lpstr>
      <vt:lpstr>神戸市西区</vt:lpstr>
      <vt:lpstr>姫路市</vt:lpstr>
      <vt:lpstr>尼崎市</vt:lpstr>
      <vt:lpstr>明石市</vt:lpstr>
      <vt:lpstr>西宮市</vt:lpstr>
      <vt:lpstr>洲本市</vt:lpstr>
      <vt:lpstr>芦屋市</vt:lpstr>
      <vt:lpstr>伊丹市</vt:lpstr>
      <vt:lpstr>相生市</vt:lpstr>
      <vt:lpstr>豊岡市</vt:lpstr>
      <vt:lpstr>加古川市</vt:lpstr>
      <vt:lpstr>赤穂市</vt:lpstr>
      <vt:lpstr>西脇市</vt:lpstr>
      <vt:lpstr>宝塚市</vt:lpstr>
      <vt:lpstr>三木市</vt:lpstr>
      <vt:lpstr>高砂市</vt:lpstr>
      <vt:lpstr>川西市</vt:lpstr>
      <vt:lpstr>小野市</vt:lpstr>
      <vt:lpstr>三田市</vt:lpstr>
      <vt:lpstr>加西市</vt:lpstr>
      <vt:lpstr>篠山市</vt:lpstr>
      <vt:lpstr>養父市</vt:lpstr>
      <vt:lpstr>丹波市</vt:lpstr>
      <vt:lpstr>南あわじ市</vt:lpstr>
      <vt:lpstr>朝来市</vt:lpstr>
      <vt:lpstr>淡路市</vt:lpstr>
      <vt:lpstr>宍粟市</vt:lpstr>
      <vt:lpstr>加東市</vt:lpstr>
      <vt:lpstr>たつの市</vt:lpstr>
      <vt:lpstr>川辺郡猪名川町</vt:lpstr>
      <vt:lpstr>多可郡多可町</vt:lpstr>
      <vt:lpstr>加古郡稲美町</vt:lpstr>
      <vt:lpstr>加古郡播磨町</vt:lpstr>
      <vt:lpstr>神崎郡市川町</vt:lpstr>
      <vt:lpstr>神崎郡福崎町</vt:lpstr>
      <vt:lpstr>神崎郡神河町</vt:lpstr>
      <vt:lpstr>揖保郡太子町</vt:lpstr>
      <vt:lpstr>赤穂郡上郡町</vt:lpstr>
      <vt:lpstr>佐用郡佐用町</vt:lpstr>
      <vt:lpstr>美方郡香美町</vt:lpstr>
      <vt:lpstr>美方郡新温泉町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2018-07-12T00:17:56Z</dcterms:created>
  <dcterms:modified xsi:type="dcterms:W3CDTF">2018-07-12T00:18:04Z</dcterms:modified>
</cp:coreProperties>
</file>